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AP 2023\Prämienschätzer ab 2023\"/>
    </mc:Choice>
  </mc:AlternateContent>
  <bookViews>
    <workbookView xWindow="0" yWindow="0" windowWidth="23040" windowHeight="8616"/>
  </bookViews>
  <sheets>
    <sheet name="Menü" sheetId="8" r:id="rId1"/>
    <sheet name="1. Säule" sheetId="1" r:id="rId2"/>
    <sheet name="Ökolandbau" sheetId="2" r:id="rId3"/>
    <sheet name="NZP, AGZ, Zwischensumme" sheetId="3" r:id="rId4"/>
    <sheet name="Vertragsnaturschutz 1" sheetId="4" r:id="rId5"/>
    <sheet name="Vertragsnaturschutz 2" sheetId="6" r:id="rId6"/>
    <sheet name="Summen mit VNS" sheetId="5" r:id="rId7"/>
  </sheets>
  <externalReferences>
    <externalReference r:id="rId8"/>
  </externalReferences>
  <definedNames>
    <definedName name="Früchte">#REF!</definedName>
    <definedName name="Humusstufe">[1]Anbaudaten!#REF!</definedName>
    <definedName name="Humussymbol">[1]Anbaudaten!#REF!</definedName>
    <definedName name="Versorgungsstufe">[1]Anbaudaten!#REF!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6" l="1"/>
  <c r="D38" i="4"/>
  <c r="D37" i="4"/>
  <c r="D36" i="4"/>
  <c r="D35" i="4"/>
  <c r="D31" i="4"/>
  <c r="D30" i="4"/>
  <c r="D26" i="4"/>
  <c r="D25" i="4"/>
  <c r="D24" i="4"/>
  <c r="D23" i="4"/>
  <c r="D20" i="4"/>
  <c r="D19" i="4"/>
  <c r="D18" i="4"/>
  <c r="D17" i="4"/>
  <c r="D13" i="4"/>
  <c r="D12" i="4"/>
  <c r="F24" i="1" l="1"/>
  <c r="F25" i="1" l="1"/>
  <c r="F22" i="1"/>
  <c r="I47" i="1" l="1"/>
  <c r="I46" i="1"/>
  <c r="I45" i="1"/>
  <c r="H47" i="1"/>
  <c r="H46" i="1"/>
  <c r="H45" i="1"/>
  <c r="G47" i="1"/>
  <c r="G46" i="1"/>
  <c r="G45" i="1"/>
  <c r="I40" i="1"/>
  <c r="H40" i="1"/>
  <c r="G40" i="1"/>
  <c r="I38" i="1"/>
  <c r="H38" i="1"/>
  <c r="G38" i="1"/>
  <c r="I32" i="1"/>
  <c r="H32" i="1"/>
  <c r="G32" i="1"/>
  <c r="I30" i="1"/>
  <c r="H30" i="1"/>
  <c r="G30" i="1"/>
  <c r="F30" i="1"/>
  <c r="D15" i="2" l="1"/>
  <c r="D42" i="6" l="1"/>
  <c r="H24" i="1" l="1"/>
  <c r="C3" i="5" l="1"/>
  <c r="B3" i="6"/>
  <c r="B3" i="4"/>
  <c r="C3" i="3"/>
  <c r="C3" i="2"/>
  <c r="F38" i="1"/>
  <c r="I25" i="1"/>
  <c r="H25" i="1"/>
  <c r="G25" i="1"/>
  <c r="I24" i="1"/>
  <c r="G24" i="1"/>
  <c r="F29" i="1"/>
  <c r="I23" i="3" l="1"/>
  <c r="I15" i="5" s="1"/>
  <c r="H23" i="3"/>
  <c r="H15" i="5" s="1"/>
  <c r="G23" i="3"/>
  <c r="G15" i="5" s="1"/>
  <c r="F23" i="3"/>
  <c r="F15" i="5" s="1"/>
  <c r="I22" i="3"/>
  <c r="I14" i="5" s="1"/>
  <c r="H22" i="3"/>
  <c r="H14" i="5" s="1"/>
  <c r="G22" i="3"/>
  <c r="G14" i="5" s="1"/>
  <c r="F22" i="3"/>
  <c r="F14" i="5" s="1"/>
  <c r="E22" i="2" l="1"/>
  <c r="D33" i="6" l="1"/>
  <c r="D16" i="2"/>
  <c r="D41" i="4"/>
  <c r="C5" i="6"/>
  <c r="D21" i="4"/>
  <c r="D14" i="4"/>
  <c r="D10" i="4"/>
  <c r="D21" i="6" l="1"/>
  <c r="D23" i="6"/>
  <c r="D27" i="6"/>
  <c r="D28" i="6"/>
  <c r="D26" i="6"/>
  <c r="D20" i="6"/>
  <c r="D12" i="6"/>
  <c r="D13" i="6"/>
  <c r="D41" i="6"/>
  <c r="D9" i="6"/>
  <c r="D10" i="6"/>
  <c r="E27" i="2"/>
  <c r="E26" i="2"/>
  <c r="F39" i="2" s="1"/>
  <c r="E21" i="2"/>
  <c r="D34" i="2" s="1"/>
  <c r="E13" i="2"/>
  <c r="F33" i="2" s="1"/>
  <c r="E12" i="2"/>
  <c r="F37" i="2" s="1"/>
  <c r="E11" i="2"/>
  <c r="E10" i="2"/>
  <c r="F31" i="2" s="1"/>
  <c r="D44" i="6" l="1"/>
  <c r="D43" i="6"/>
  <c r="D39" i="6"/>
  <c r="D40" i="6"/>
  <c r="D45" i="6"/>
  <c r="C5" i="4"/>
  <c r="D45" i="4" l="1"/>
  <c r="D37" i="6" s="1"/>
  <c r="D43" i="4" l="1"/>
  <c r="D35" i="6"/>
  <c r="D38" i="6"/>
  <c r="D46" i="4"/>
  <c r="D42" i="4"/>
  <c r="D34" i="6"/>
  <c r="D44" i="4"/>
  <c r="D36" i="6"/>
  <c r="D47" i="6" l="1"/>
  <c r="F20" i="5" s="1"/>
  <c r="D48" i="4"/>
  <c r="F46" i="1"/>
  <c r="G20" i="5" l="1"/>
  <c r="H20" i="5"/>
  <c r="I20" i="5"/>
  <c r="F47" i="1"/>
  <c r="D27" i="2"/>
  <c r="D25" i="2"/>
  <c r="F32" i="1"/>
  <c r="D10" i="1"/>
  <c r="F19" i="1" l="1"/>
  <c r="F20" i="1"/>
  <c r="I22" i="1"/>
  <c r="H22" i="1"/>
  <c r="G22" i="1"/>
  <c r="G19" i="1"/>
  <c r="I20" i="1"/>
  <c r="G20" i="1"/>
  <c r="I19" i="1"/>
  <c r="H19" i="1"/>
  <c r="H20" i="1"/>
  <c r="F17" i="1"/>
  <c r="D28" i="2"/>
  <c r="D14" i="2" l="1"/>
  <c r="E37" i="2"/>
  <c r="I37" i="2" l="1"/>
  <c r="H37" i="2"/>
  <c r="G37" i="2"/>
  <c r="E40" i="2"/>
  <c r="E39" i="2"/>
  <c r="E35" i="2"/>
  <c r="E34" i="2"/>
  <c r="E33" i="2"/>
  <c r="E32" i="2"/>
  <c r="E31" i="2"/>
  <c r="D35" i="2"/>
  <c r="D20" i="2"/>
  <c r="D23" i="2" s="1"/>
  <c r="I39" i="2" l="1"/>
  <c r="H39" i="2"/>
  <c r="G39" i="2"/>
  <c r="H31" i="2"/>
  <c r="I31" i="2"/>
  <c r="G31" i="2"/>
  <c r="I35" i="2"/>
  <c r="H35" i="2"/>
  <c r="G35" i="2"/>
  <c r="F35" i="2"/>
  <c r="I34" i="2"/>
  <c r="F34" i="2"/>
  <c r="H34" i="2"/>
  <c r="G34" i="2"/>
  <c r="G33" i="2"/>
  <c r="H33" i="2"/>
  <c r="I33" i="2"/>
  <c r="I42" i="2"/>
  <c r="D42" i="2"/>
  <c r="H42" i="2"/>
  <c r="G42" i="2"/>
  <c r="F42" i="2"/>
  <c r="F40" i="2"/>
  <c r="G40" i="2"/>
  <c r="H40" i="2"/>
  <c r="D40" i="2"/>
  <c r="I40" i="2"/>
  <c r="D39" i="2"/>
  <c r="D37" i="2"/>
  <c r="D31" i="2"/>
  <c r="D9" i="2"/>
  <c r="D18" i="2" s="1"/>
  <c r="F32" i="2" l="1"/>
  <c r="I32" i="2"/>
  <c r="H32" i="2"/>
  <c r="G32" i="2"/>
  <c r="D32" i="2"/>
  <c r="D33" i="2"/>
  <c r="G17" i="5" l="1"/>
  <c r="I17" i="5"/>
  <c r="F17" i="5"/>
  <c r="H17" i="5"/>
  <c r="H25" i="3"/>
  <c r="G25" i="3"/>
  <c r="F25" i="3"/>
  <c r="I25" i="3"/>
  <c r="I48" i="1" l="1"/>
  <c r="I44" i="2" s="1"/>
  <c r="I18" i="5" s="1"/>
  <c r="H48" i="1"/>
  <c r="H44" i="2" s="1"/>
  <c r="H18" i="5" s="1"/>
  <c r="G48" i="1"/>
  <c r="G44" i="2" s="1"/>
  <c r="G18" i="5" s="1"/>
  <c r="F48" i="1"/>
  <c r="F45" i="1"/>
  <c r="F44" i="2" l="1"/>
  <c r="F18" i="5" s="1"/>
  <c r="I26" i="3"/>
  <c r="G26" i="3"/>
  <c r="H26" i="3"/>
  <c r="F28" i="1"/>
  <c r="F27" i="1"/>
  <c r="F26" i="3" l="1"/>
  <c r="F36" i="1" l="1"/>
  <c r="F35" i="1"/>
  <c r="F34" i="1"/>
  <c r="I42" i="1" l="1"/>
  <c r="H42" i="1"/>
  <c r="G42" i="1"/>
  <c r="F42" i="1"/>
  <c r="G36" i="1"/>
  <c r="I35" i="1"/>
  <c r="I34" i="1"/>
  <c r="G29" i="1"/>
  <c r="I28" i="1"/>
  <c r="I27" i="1"/>
  <c r="F54" i="1"/>
  <c r="F40" i="1"/>
  <c r="I50" i="1"/>
  <c r="H50" i="1"/>
  <c r="G50" i="1"/>
  <c r="F50" i="1"/>
  <c r="I43" i="1"/>
  <c r="H43" i="1"/>
  <c r="G43" i="1"/>
  <c r="F43" i="1"/>
  <c r="F55" i="1" l="1"/>
  <c r="F17" i="3"/>
  <c r="F9" i="5"/>
  <c r="I17" i="1"/>
  <c r="H36" i="1"/>
  <c r="G35" i="1"/>
  <c r="I36" i="1"/>
  <c r="H54" i="1"/>
  <c r="I54" i="1"/>
  <c r="G54" i="1"/>
  <c r="H29" i="1"/>
  <c r="G28" i="1"/>
  <c r="G34" i="1"/>
  <c r="H35" i="1"/>
  <c r="H34" i="1"/>
  <c r="G27" i="1"/>
  <c r="H28" i="1"/>
  <c r="I29" i="1"/>
  <c r="H27" i="1"/>
  <c r="G17" i="1"/>
  <c r="H17" i="1"/>
  <c r="G17" i="3" l="1"/>
  <c r="G9" i="5"/>
  <c r="I17" i="3"/>
  <c r="I9" i="5"/>
  <c r="H17" i="3"/>
  <c r="H9" i="5"/>
  <c r="F18" i="3"/>
  <c r="F10" i="5"/>
  <c r="H55" i="1"/>
  <c r="G55" i="1"/>
  <c r="I55" i="1"/>
  <c r="G53" i="1"/>
  <c r="H53" i="1"/>
  <c r="F53" i="1"/>
  <c r="G57" i="1" l="1"/>
  <c r="F8" i="5"/>
  <c r="F12" i="5" s="1"/>
  <c r="F22" i="5" s="1"/>
  <c r="F57" i="1"/>
  <c r="H57" i="1"/>
  <c r="G16" i="3"/>
  <c r="G8" i="5"/>
  <c r="H16" i="3"/>
  <c r="H8" i="5"/>
  <c r="G18" i="3"/>
  <c r="G10" i="5"/>
  <c r="H18" i="3"/>
  <c r="H10" i="5"/>
  <c r="I18" i="3"/>
  <c r="I10" i="5"/>
  <c r="F16" i="3"/>
  <c r="I53" i="1"/>
  <c r="I57" i="1" s="1"/>
  <c r="I8" i="5" l="1"/>
  <c r="I12" i="5"/>
  <c r="I22" i="5" s="1"/>
  <c r="H12" i="5"/>
  <c r="H22" i="5" s="1"/>
  <c r="G12" i="5"/>
  <c r="G22" i="5" s="1"/>
  <c r="H20" i="3"/>
  <c r="H28" i="3" s="1"/>
  <c r="F20" i="3"/>
  <c r="F28" i="3" s="1"/>
  <c r="G20" i="3"/>
  <c r="G28" i="3" s="1"/>
  <c r="I16" i="3"/>
  <c r="I20" i="3" l="1"/>
  <c r="I28" i="3" s="1"/>
</calcChain>
</file>

<file path=xl/sharedStrings.xml><?xml version="1.0" encoding="utf-8"?>
<sst xmlns="http://schemas.openxmlformats.org/spreadsheetml/2006/main" count="287" uniqueCount="197">
  <si>
    <t>je ha</t>
  </si>
  <si>
    <t>Umverteilung</t>
  </si>
  <si>
    <t>Junglandwirt</t>
  </si>
  <si>
    <t>gesamt</t>
  </si>
  <si>
    <t>Extensivierung gesamtes GL</t>
  </si>
  <si>
    <t>Fläche in ha</t>
  </si>
  <si>
    <t>Ackerfläche</t>
  </si>
  <si>
    <t>Grünland</t>
  </si>
  <si>
    <t>Summe Ecoschemes</t>
  </si>
  <si>
    <t>Summe gesamt</t>
  </si>
  <si>
    <t>Fläche NZP-fähig in ha</t>
  </si>
  <si>
    <t>Beibehaltung Agroforst in ha</t>
  </si>
  <si>
    <t>Mutterkühe Anzahl</t>
  </si>
  <si>
    <t>bis 40 ha</t>
  </si>
  <si>
    <t>40 bis 60 ha</t>
  </si>
  <si>
    <t xml:space="preserve"> </t>
  </si>
  <si>
    <t>3-6 %</t>
  </si>
  <si>
    <t>1-3 %</t>
  </si>
  <si>
    <t>bis 1 %</t>
  </si>
  <si>
    <t>1-2 %</t>
  </si>
  <si>
    <t>Grundprämie</t>
  </si>
  <si>
    <t>Weideprämie</t>
  </si>
  <si>
    <t>Summe Grundprämie</t>
  </si>
  <si>
    <t>Summe Weideprämie</t>
  </si>
  <si>
    <t>M.schafe/ Ziegen Anzahl</t>
  </si>
  <si>
    <t>bis 120 ha</t>
  </si>
  <si>
    <t>Vielfältige Kulturen ges. AF</t>
  </si>
  <si>
    <t>nein</t>
  </si>
  <si>
    <t>Jahr</t>
  </si>
  <si>
    <t>Junglandwirt (ja/ nein)</t>
  </si>
  <si>
    <t>Altgrasstreifen in ha</t>
  </si>
  <si>
    <t>Zuschlag</t>
  </si>
  <si>
    <t>Sommerungen</t>
  </si>
  <si>
    <t>Gemüse</t>
  </si>
  <si>
    <t>mehrj. Futterbau</t>
  </si>
  <si>
    <t>Dauergrünland</t>
  </si>
  <si>
    <t>Dauerkultur</t>
  </si>
  <si>
    <t>Winterungen</t>
  </si>
  <si>
    <t>Ackerfläche in ha</t>
  </si>
  <si>
    <t>AF 1. Säule</t>
  </si>
  <si>
    <t>Summen Ökoprämie</t>
  </si>
  <si>
    <t>Gemüsebau</t>
  </si>
  <si>
    <t>ohne Abzug</t>
  </si>
  <si>
    <t>Ökoprämie gesamt</t>
  </si>
  <si>
    <t>Dauergrünland red. Satz</t>
  </si>
  <si>
    <t>Dauergrünland volle Förderung</t>
  </si>
  <si>
    <t>Fläche</t>
  </si>
  <si>
    <t>Prämiensatz/ ha</t>
  </si>
  <si>
    <t>Für den Prämienabzug durch GLÖZ 8 (4%) und Eco-Scheme 1 wird unterstellt, dass die Brach- und Blühflächen gleichmäßig über die Acker-Kulturen verteilt sind.</t>
  </si>
  <si>
    <t>Dauergrünl. red.</t>
  </si>
  <si>
    <t>Blühstreifen in DK</t>
  </si>
  <si>
    <t>Befreiung von GLÖZ 8</t>
  </si>
  <si>
    <t>ha zahlungsfähig</t>
  </si>
  <si>
    <t>Verzicht PSM auf ha Sommerungen</t>
  </si>
  <si>
    <t>Ökoprämie nach Abzug Eco-Schemes</t>
  </si>
  <si>
    <t>Prämiensumme gesamt</t>
  </si>
  <si>
    <t>Ökoprämie vor Abzug</t>
  </si>
  <si>
    <t>Blühstreifen auf Dauerkultur</t>
  </si>
  <si>
    <t>DK 1. Säule</t>
  </si>
  <si>
    <t>Blühstreifen auf DK</t>
  </si>
  <si>
    <t>Dauerkultur (ohne Blüh) in ha</t>
  </si>
  <si>
    <t>Verzicht PSM auf ha Gemüse</t>
  </si>
  <si>
    <t>Verzicht PSM auf ha Dauerkultur</t>
  </si>
  <si>
    <t>Verzicht PSM auf ha Gras, Grünfutterpfl.</t>
  </si>
  <si>
    <t>freiw. Brache m. Blüh  in ha (nur Acker)</t>
  </si>
  <si>
    <t>freiw. Brache o. Blüh in ha (nur Acker)</t>
  </si>
  <si>
    <t>Bio oder  konventionell</t>
  </si>
  <si>
    <t>Summen VNS</t>
  </si>
  <si>
    <t>Vertragsnaturschutz gesamt</t>
  </si>
  <si>
    <t>VNS Ackerlebensräume</t>
  </si>
  <si>
    <t>Summe Vertragsnaturschutz</t>
  </si>
  <si>
    <t>konventionell, Einführer oder Beibehalter</t>
  </si>
  <si>
    <t>Ausgleich  Transaktionskosten</t>
  </si>
  <si>
    <t>Weidegang</t>
  </si>
  <si>
    <t>Weidewirtschaft</t>
  </si>
  <si>
    <t>ohne Sperrfrist</t>
  </si>
  <si>
    <t>mit Sperrfrist</t>
  </si>
  <si>
    <t>Mähweide</t>
  </si>
  <si>
    <t>Standweide</t>
  </si>
  <si>
    <t>davon mit freiwilligen BGM</t>
  </si>
  <si>
    <t>%-Anteil BGM</t>
  </si>
  <si>
    <t>davon mit Gänse-Rastbestand</t>
  </si>
  <si>
    <t>WW Moor</t>
  </si>
  <si>
    <t>WW Marsch</t>
  </si>
  <si>
    <t>W.landschaft Marsch</t>
  </si>
  <si>
    <t>GL.wirtschaft Moor</t>
  </si>
  <si>
    <t>*Bei Teilnahme an der Ökoförderung wird die Auszahlung des VNS reduziert.</t>
  </si>
  <si>
    <t>Mähweide mit org. Düngung</t>
  </si>
  <si>
    <t>Standweide mit org. Düngung</t>
  </si>
  <si>
    <t>Mähweide ohne Düngung</t>
  </si>
  <si>
    <t>Standweide ohne Düngung</t>
  </si>
  <si>
    <t>grüne Flächen mit Sperrfrist</t>
  </si>
  <si>
    <t>grüne Flächen ohne Sperrfrist</t>
  </si>
  <si>
    <t>grüne Flächen Mähweide</t>
  </si>
  <si>
    <t>grüne Flächen Weide</t>
  </si>
  <si>
    <t>Weidewirtschaft*</t>
  </si>
  <si>
    <t>WW Moor*</t>
  </si>
  <si>
    <t>WW Marsch*</t>
  </si>
  <si>
    <t>gelbe Flächen*</t>
  </si>
  <si>
    <t>rote Flächen*</t>
  </si>
  <si>
    <t>gelbe Flächen Mähweide*</t>
  </si>
  <si>
    <t>gelbe Flächen Weide*</t>
  </si>
  <si>
    <t>rote Flächen Mähweide*</t>
  </si>
  <si>
    <t>rote Flächen Weide*</t>
  </si>
  <si>
    <t>Vertragsnaturschutz 1 gesamt</t>
  </si>
  <si>
    <t>Wertgrünland</t>
  </si>
  <si>
    <t>Entwicklungspflege</t>
  </si>
  <si>
    <t>Erhaltung ohne (N)-Düngung*</t>
  </si>
  <si>
    <t>Erhaltung mit Festmist-Düngung*</t>
  </si>
  <si>
    <t>Grünlandlebensräume</t>
  </si>
  <si>
    <t>Kleinteiligkeit</t>
  </si>
  <si>
    <t>Ackerlebensräume</t>
  </si>
  <si>
    <t>Selbstbegrünung</t>
  </si>
  <si>
    <t>Standard-Saatgut</t>
  </si>
  <si>
    <t>Regio-Saatgut</t>
  </si>
  <si>
    <t>Ackerlebensräume**</t>
  </si>
  <si>
    <t>AL zu GL-Lebensräumen</t>
  </si>
  <si>
    <t>AL zu GL-Lebensräumen*</t>
  </si>
  <si>
    <t>mit Festmistdüngung</t>
  </si>
  <si>
    <t>ohne Festmistdüngung</t>
  </si>
  <si>
    <t>Halligprogramm</t>
  </si>
  <si>
    <t>Mähzuschuss</t>
  </si>
  <si>
    <t>Gänseduldungszuschuss</t>
  </si>
  <si>
    <t>Salzwiesenprämie***</t>
  </si>
  <si>
    <t>Bewirtschaftungsentgelt*</t>
  </si>
  <si>
    <t>Grünland Mähweide</t>
  </si>
  <si>
    <t>Grünland Standweide</t>
  </si>
  <si>
    <t>Acker Winterung</t>
  </si>
  <si>
    <t>Acker Sommerung</t>
  </si>
  <si>
    <t>***Keine Auszahlung für Bio-Betriebe</t>
  </si>
  <si>
    <t>**Keine Auszahlung von Ökoförderung auf Flächen mit Ackerlebensräumen</t>
  </si>
  <si>
    <t>Rastplätze*</t>
  </si>
  <si>
    <t>Rastplätze für wandernde Vogelarten</t>
  </si>
  <si>
    <t>Natura2000-Prämie</t>
  </si>
  <si>
    <t>Fläche NZP</t>
  </si>
  <si>
    <t>Ausgleichszulage</t>
  </si>
  <si>
    <t>GL mit Tierhaltung</t>
  </si>
  <si>
    <t>Fläche AGZ</t>
  </si>
  <si>
    <t>Kulisse 90 €/ ha</t>
  </si>
  <si>
    <t>Kulisse 170 €/ ha</t>
  </si>
  <si>
    <t>Summe NZP</t>
  </si>
  <si>
    <t>Summe AGZ</t>
  </si>
  <si>
    <t>2-6 %</t>
  </si>
  <si>
    <t>Ökoprämie nach Abzug Eco-Schemes*</t>
  </si>
  <si>
    <t>Betrieb:</t>
  </si>
  <si>
    <t>Datum:</t>
  </si>
  <si>
    <t>Summe 1. Säule</t>
  </si>
  <si>
    <t xml:space="preserve">Die Benutzung dieses Programmes dient lediglich der Orientierung und erfolgt in eigener Verantwortung des Anwenders. </t>
  </si>
  <si>
    <t>Eine Haftung gegenüber der LKSH ist ausgeschlossen.</t>
  </si>
  <si>
    <t>Prämienrechner 2023 bis 2026</t>
  </si>
  <si>
    <t>Dient der Gesamtübersicht, hier kann keine Bearbeitung stattfinden. Bei nötigen Anpassungen oder Unstimmigkeiten müssen die Berechnungsblätter 1-5 kontrolliert und ggf. angepasst werden.</t>
  </si>
  <si>
    <t>Hinweis bei Feldern mit *** : Keine Auszahlung für Ökobetriebe.</t>
  </si>
  <si>
    <t>Hinweis bei Feldern mit  ** : Keine Auszahlung von Ökoförderung auf Flächen mit Ackerlebensräumen.</t>
  </si>
  <si>
    <t>Hinweis bei Feldern mit einem * : Bei Teilnahme am Ökolandbau wird die Auszahlung des Vertragsnaturschutzes gekürzt.</t>
  </si>
  <si>
    <t xml:space="preserve">Hinweis: Für die Anwendung des Eco-Schemes 4 (Grünlandextensivierung) und 6 (PSM-Verzicht) wird die Ökoprämie anteilig gekürzt. </t>
  </si>
  <si>
    <t>Hinweis für den Prämienabzug durch GLÖZ 8 (4%) und Eco-Scheme 1. Es wird unterstellt, dass alle Brach-und Blühflächen gleichmäßig über die Ackerflächen verteilt sind.</t>
  </si>
  <si>
    <r>
      <t xml:space="preserve">Hier bitte alle notwendigen Felder </t>
    </r>
    <r>
      <rPr>
        <sz val="11"/>
        <color rgb="FF00B0F0"/>
        <rFont val="Calibri"/>
        <family val="2"/>
        <scheme val="minor"/>
      </rPr>
      <t>(blau)</t>
    </r>
    <r>
      <rPr>
        <sz val="11"/>
        <color theme="1"/>
        <rFont val="Calibri"/>
        <family val="2"/>
        <scheme val="minor"/>
      </rPr>
      <t xml:space="preserve"> ausfüllen. Diese Werte werden in die nachfolgenden Berechnungsblätter übertragen und dienen als Grundlage für alle folgenden Berechnungen.</t>
    </r>
  </si>
  <si>
    <t>Stand:</t>
  </si>
  <si>
    <t>bortmanns@lksh.de</t>
  </si>
  <si>
    <t>Björn Ortmanns</t>
  </si>
  <si>
    <t>Autor:</t>
  </si>
  <si>
    <t>Anwendunghinweise:</t>
  </si>
  <si>
    <t>Bitte beachten:</t>
  </si>
  <si>
    <r>
      <t>Es sind ausschlißelich die</t>
    </r>
    <r>
      <rPr>
        <sz val="10"/>
        <color rgb="FF00B0F0"/>
        <rFont val="Calibri"/>
        <family val="2"/>
        <scheme val="minor"/>
      </rPr>
      <t xml:space="preserve"> blauen</t>
    </r>
    <r>
      <rPr>
        <sz val="10"/>
        <color theme="1"/>
        <rFont val="Calibri"/>
        <family val="2"/>
        <scheme val="minor"/>
      </rPr>
      <t xml:space="preserve"> </t>
    </r>
    <r>
      <rPr>
        <sz val="10"/>
        <color rgb="FF00B0F0"/>
        <rFont val="Calibri"/>
        <family val="2"/>
        <scheme val="minor"/>
      </rPr>
      <t>Felder</t>
    </r>
    <r>
      <rPr>
        <sz val="10"/>
        <color theme="1"/>
        <rFont val="Calibri"/>
        <family val="2"/>
        <scheme val="minor"/>
      </rPr>
      <t xml:space="preserve"> auszufüllen. Bitte die Berechnungsblätter der Reihenfolge nach bearbeiten. </t>
    </r>
  </si>
  <si>
    <t>Berechnungsblatt "1. Säule"</t>
  </si>
  <si>
    <t>Berechnungsblatt "Ökolandbau"</t>
  </si>
  <si>
    <t>Es sind Kontrollfelder eingebaut, diese dienen der Selbstkontrolle und müssen stets "0" ergeben.</t>
  </si>
  <si>
    <t>Berechnungsblatt "NZP, AGZ, Zwischensumme"</t>
  </si>
  <si>
    <t>Berechnungsblätter "Vetragsnaturschutz"</t>
  </si>
  <si>
    <t>Berechnungsblatt "Summen mit VNS"</t>
  </si>
  <si>
    <t>Steht bei Betrieb: 0, dann ist im Berechnungsblatt "1. Säule" kein Betriebsnamen eingetragen. Das Jahr und der Betrieb kann ausschließlich auf dem Berechnungsblatt "1. Säule" eingegeben werden.</t>
  </si>
  <si>
    <t>Für einen Ausdruck der Ergebnisse sollte die gesamte Arbeitsmappe zunächst als pdf-Datei gespeichert und erst dann ausgedruckt werden.</t>
  </si>
  <si>
    <t>ehem. Grünland 584/585</t>
  </si>
  <si>
    <t>* Bei Anwendung des Eco-Schemes 4 (Grünlandextensivierung) wird die Ökoprämie anteilig gekürzt. Bei Sommerungen, mehrjährigem Futterbau,</t>
  </si>
  <si>
    <t>Gemüsebau und Dauerkulturen wird die Förderhöhe des Eco-Schemes 6 in jedem Fall von der Auszahlung der Ökoprämie abgezogen.</t>
  </si>
  <si>
    <t>Kontrolle*</t>
  </si>
  <si>
    <t>GL 1. Säule**</t>
  </si>
  <si>
    <t>* Wenn Kontrolle ungleich 0, dann liegt ein Fehler vor.</t>
  </si>
  <si>
    <t>** Grünland ohne ehem. Grünland 584/585. Auf Flächen mit Codierung 584/585 wird keine Ökoprämie gewährt.</t>
  </si>
  <si>
    <t>Aufstockungsbrache</t>
  </si>
  <si>
    <t>Brache aus Kleinteiligkeit</t>
  </si>
  <si>
    <t>Kleinteiligkeit (nur für Bio-Betriebe), Fläche inkl. Blüh.</t>
  </si>
  <si>
    <t>davon Blühfläche aus Kleinteiligkeit (Angabe erforderlich)</t>
  </si>
  <si>
    <t>sonstige Brachen</t>
  </si>
  <si>
    <t>Alle Angaben und Berechnungen ohne Gewähr. Die angenommenen Werte gelten unter Vorbehalt der Umsetzung der 3. VO zur Änderung der GAPDZV. Es können Anpassungen der angenommenen Werte erfolgen. Die Benutzung dieses Programmes dient lediglich der Orientierung und erfolgt in eigener Verantwortung des Anwenders. Eine Haftung gegenüber der LKSH ist ausgeschlossen.</t>
  </si>
  <si>
    <t>Alle Angaben und Berechnungen ohne Gewähr. Die angenommenen Werte gelten unter Vorbehalt der Umsetzung der 3. Verordnung</t>
  </si>
  <si>
    <t xml:space="preserve">zur Änderung der GAPDZV. Es können Anpassungen der angenommenen Werte erfolgen. </t>
  </si>
  <si>
    <t>Stand 30-11-2023</t>
  </si>
  <si>
    <t>regionale Kennarten auf GL in ha</t>
  </si>
  <si>
    <t>konventionell</t>
  </si>
  <si>
    <t>Ökoregelungen</t>
  </si>
  <si>
    <t>Summe Ökoregelungen*</t>
  </si>
  <si>
    <t>EGS</t>
  </si>
  <si>
    <t>* Wenn die Mittel für die Ökoregelungen nicht ausgeschöpft werden, dann kann die Auszahlung der ÖR, sowie der Grund- und Weideprämien erhöht werden.</t>
  </si>
  <si>
    <t>Summe Grundprämie*</t>
  </si>
  <si>
    <t>Summe Weideprämie*</t>
  </si>
  <si>
    <t>Stand 11-12-2023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</si>
</sst>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19"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u/>
      <sz val="10"/>
      <color theme="10"/>
      <name val="Arial"/>
      <family val="2"/>
    </font>
    <font>
      <b/>
      <u/>
      <sz val="10"/>
      <color theme="0"/>
      <name val="Arial"/>
      <family val="2"/>
    </font>
    <font>
      <sz val="11"/>
      <color rgb="FF00B0F0"/>
      <name val="Calibri"/>
      <family val="2"/>
      <scheme val="minor"/>
    </font>
    <font>
      <sz val="10"/>
      <color theme="1"/>
      <name val="Calibri"/>
      <family val="2"/>
      <scheme val="minor"/>
    </font>
    <font>
      <sz val="10"/>
      <color rgb="FF00B0F0"/>
      <name val="Calibri"/>
      <family val="2"/>
      <scheme val="minor"/>
    </font>
    <font>
      <b/>
      <u/>
      <sz val="10"/>
      <color theme="1"/>
      <name val="Calibri"/>
      <family val="2"/>
      <scheme val="minor"/>
    </font>
    <font>
      <sz val="10"/>
      <color rgb="FFFF0000"/>
      <name val="Calibri"/>
      <family val="2"/>
      <scheme val="minor"/>
    </font>
    <font>
      <b/>
      <u/>
      <sz val="10"/>
      <name val="Arial"/>
      <family val="2"/>
    </font>
    <font>
      <b/>
      <sz val="11"/>
      <name val="Calibri"/>
      <family val="2"/>
      <scheme val="minor"/>
    </font>
    <font>
      <sz val="11"/>
      <name val="Calibri"/>
      <family val="2"/>
      <scheme val="minor"/>
    </font>
    <font>
      <b/>
      <sz val="16"/>
      <name val="Arial"/>
      <family val="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53D2FF"/>
        <bgColor indexed="64"/>
      </patternFill>
    </fill>
    <fill>
      <patternFill patternType="solid">
        <fgColor theme="0"/>
        <bgColor indexed="64"/>
      </patternFill>
    </fill>
    <fill>
      <patternFill patternType="solid">
        <fgColor theme="9"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4"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indexed="64"/>
      </left>
      <right style="slantDashDot">
        <color indexed="64"/>
      </right>
      <top style="slantDashDot">
        <color indexed="64"/>
      </top>
      <bottom style="slantDashDot">
        <color indexed="64"/>
      </bottom>
      <diagonal/>
    </border>
    <border>
      <left/>
      <right/>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s>
  <cellStyleXfs count="3">
    <xf numFmtId="0" fontId="0" fillId="0" borderId="0"/>
    <xf numFmtId="0" fontId="6" fillId="0" borderId="0"/>
    <xf numFmtId="0" fontId="8" fillId="0" borderId="0" applyNumberFormat="0" applyFill="0" applyBorder="0" applyAlignment="0" applyProtection="0"/>
  </cellStyleXfs>
  <cellXfs count="83">
    <xf numFmtId="0" fontId="0" fillId="0" borderId="0" xfId="0"/>
    <xf numFmtId="0" fontId="0" fillId="0" borderId="0" xfId="0" applyProtection="1"/>
    <xf numFmtId="0" fontId="0" fillId="3" borderId="0" xfId="0" applyFill="1" applyProtection="1"/>
    <xf numFmtId="6" fontId="0" fillId="3" borderId="0" xfId="0" applyNumberFormat="1" applyFill="1" applyProtection="1"/>
    <xf numFmtId="0" fontId="0" fillId="4" borderId="0" xfId="0" applyFill="1" applyProtection="1"/>
    <xf numFmtId="9" fontId="0" fillId="4" borderId="0" xfId="0" applyNumberFormat="1" applyFill="1" applyAlignment="1" applyProtection="1">
      <alignment horizontal="right"/>
    </xf>
    <xf numFmtId="0" fontId="0" fillId="4" borderId="0" xfId="0" applyFill="1" applyAlignment="1" applyProtection="1">
      <alignment horizontal="right"/>
    </xf>
    <xf numFmtId="0" fontId="1" fillId="0" borderId="0" xfId="0" applyFont="1" applyProtection="1"/>
    <xf numFmtId="0" fontId="0" fillId="5" borderId="0" xfId="0" applyFill="1" applyProtection="1"/>
    <xf numFmtId="0" fontId="2" fillId="2" borderId="0" xfId="0" applyFont="1" applyFill="1" applyProtection="1"/>
    <xf numFmtId="0" fontId="0" fillId="5" borderId="0" xfId="0" applyFill="1" applyAlignment="1" applyProtection="1">
      <alignment horizontal="right"/>
    </xf>
    <xf numFmtId="0" fontId="0" fillId="0" borderId="1" xfId="0" applyBorder="1" applyProtection="1"/>
    <xf numFmtId="0" fontId="0" fillId="0" borderId="2" xfId="0" applyBorder="1" applyProtection="1"/>
    <xf numFmtId="0" fontId="0" fillId="0" borderId="4" xfId="0" applyBorder="1" applyProtection="1"/>
    <xf numFmtId="0" fontId="0" fillId="0" borderId="0"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6" borderId="3" xfId="0" applyFill="1" applyBorder="1" applyProtection="1">
      <protection locked="0"/>
    </xf>
    <xf numFmtId="0" fontId="0" fillId="6" borderId="5" xfId="0" applyFill="1" applyBorder="1" applyProtection="1">
      <protection locked="0"/>
    </xf>
    <xf numFmtId="0" fontId="0" fillId="6" borderId="8" xfId="0" applyFill="1" applyBorder="1" applyAlignment="1" applyProtection="1">
      <alignment horizontal="right"/>
      <protection locked="0"/>
    </xf>
    <xf numFmtId="0" fontId="0" fillId="6" borderId="0" xfId="0" applyFill="1" applyProtection="1">
      <protection locked="0"/>
    </xf>
    <xf numFmtId="0" fontId="0" fillId="6" borderId="0" xfId="0" applyFill="1" applyAlignment="1" applyProtection="1">
      <alignment horizontal="right"/>
      <protection locked="0"/>
    </xf>
    <xf numFmtId="0" fontId="0" fillId="6" borderId="0" xfId="0" applyNumberFormat="1" applyFill="1" applyProtection="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0" xfId="0" applyFill="1"/>
    <xf numFmtId="0" fontId="0" fillId="6" borderId="2" xfId="0" applyFill="1" applyBorder="1" applyProtection="1">
      <protection locked="0"/>
    </xf>
    <xf numFmtId="0" fontId="0" fillId="6" borderId="0" xfId="0" applyFill="1" applyBorder="1" applyProtection="1">
      <protection locked="0"/>
    </xf>
    <xf numFmtId="0" fontId="2" fillId="2" borderId="0" xfId="0" applyFont="1" applyFill="1"/>
    <xf numFmtId="0" fontId="2" fillId="0" borderId="0" xfId="0" applyFont="1"/>
    <xf numFmtId="0" fontId="0" fillId="2" borderId="0" xfId="0" applyFont="1" applyFill="1"/>
    <xf numFmtId="0" fontId="0" fillId="0" borderId="0" xfId="0" applyFont="1"/>
    <xf numFmtId="0" fontId="4" fillId="2" borderId="0" xfId="0" applyFont="1" applyFill="1"/>
    <xf numFmtId="0" fontId="3" fillId="2" borderId="0" xfId="0" applyFont="1" applyFill="1" applyProtection="1"/>
    <xf numFmtId="0" fontId="4" fillId="0" borderId="0" xfId="0" applyFont="1"/>
    <xf numFmtId="0" fontId="0" fillId="7" borderId="0" xfId="0" applyFill="1" applyBorder="1" applyProtection="1"/>
    <xf numFmtId="0" fontId="0" fillId="0" borderId="7" xfId="0" applyFill="1" applyBorder="1" applyProtection="1"/>
    <xf numFmtId="0" fontId="0" fillId="0" borderId="0" xfId="0" applyFill="1" applyBorder="1" applyProtection="1"/>
    <xf numFmtId="0" fontId="0" fillId="0" borderId="0" xfId="0" applyFill="1" applyBorder="1"/>
    <xf numFmtId="0" fontId="0" fillId="0" borderId="7" xfId="0" applyFill="1" applyBorder="1"/>
    <xf numFmtId="0" fontId="0" fillId="6" borderId="7" xfId="0" applyFill="1" applyBorder="1" applyProtection="1">
      <protection locked="0"/>
    </xf>
    <xf numFmtId="0" fontId="0" fillId="0" borderId="2" xfId="0" applyFill="1" applyBorder="1" applyProtection="1"/>
    <xf numFmtId="0" fontId="0" fillId="6" borderId="0" xfId="0" applyFill="1" applyProtection="1"/>
    <xf numFmtId="14" fontId="0" fillId="6" borderId="0" xfId="0" applyNumberFormat="1" applyFill="1" applyProtection="1">
      <protection locked="0"/>
    </xf>
    <xf numFmtId="0" fontId="0" fillId="0" borderId="0" xfId="0" applyNumberFormat="1"/>
    <xf numFmtId="0" fontId="5" fillId="0" borderId="0" xfId="0" applyFont="1" applyProtection="1"/>
    <xf numFmtId="0" fontId="0" fillId="0" borderId="0" xfId="0" applyFont="1" applyProtection="1"/>
    <xf numFmtId="0" fontId="6" fillId="8" borderId="0" xfId="1" applyFill="1"/>
    <xf numFmtId="0" fontId="6" fillId="8" borderId="0" xfId="1" applyFill="1" applyAlignment="1">
      <alignment wrapText="1"/>
    </xf>
    <xf numFmtId="0" fontId="6" fillId="8" borderId="0" xfId="1" applyFill="1" applyAlignment="1">
      <alignment horizontal="left" vertical="top"/>
    </xf>
    <xf numFmtId="0" fontId="0" fillId="8" borderId="0" xfId="1" applyFont="1" applyFill="1" applyAlignment="1">
      <alignment horizontal="left" vertical="top" wrapText="1"/>
    </xf>
    <xf numFmtId="0" fontId="0" fillId="8" borderId="10" xfId="1" applyFont="1" applyFill="1" applyBorder="1" applyAlignment="1">
      <alignment horizontal="left" vertical="top" wrapText="1"/>
    </xf>
    <xf numFmtId="0" fontId="0" fillId="8" borderId="11" xfId="1" applyFont="1" applyFill="1" applyBorder="1" applyAlignment="1">
      <alignment horizontal="left" vertical="top" wrapText="1"/>
    </xf>
    <xf numFmtId="0" fontId="6" fillId="8" borderId="10" xfId="1" applyFill="1" applyBorder="1" applyAlignment="1">
      <alignment horizontal="left" vertical="top" wrapText="1"/>
    </xf>
    <xf numFmtId="0" fontId="8" fillId="8" borderId="0" xfId="2" applyFont="1" applyFill="1"/>
    <xf numFmtId="0" fontId="11" fillId="8" borderId="0" xfId="1" applyFont="1" applyFill="1"/>
    <xf numFmtId="0" fontId="11" fillId="8" borderId="0" xfId="1" applyFont="1" applyFill="1" applyAlignment="1">
      <alignment wrapText="1"/>
    </xf>
    <xf numFmtId="0" fontId="13" fillId="8" borderId="0" xfId="1" applyFont="1" applyFill="1" applyAlignment="1">
      <alignment wrapText="1"/>
    </xf>
    <xf numFmtId="0" fontId="14" fillId="8" borderId="0" xfId="1" applyFont="1" applyFill="1" applyAlignment="1">
      <alignment horizontal="left" vertical="top" wrapText="1"/>
    </xf>
    <xf numFmtId="0" fontId="5" fillId="8" borderId="0" xfId="1" applyFont="1" applyFill="1" applyAlignment="1">
      <alignment horizontal="left" vertical="top"/>
    </xf>
    <xf numFmtId="0" fontId="16" fillId="8" borderId="0" xfId="1" applyFont="1" applyFill="1" applyAlignment="1">
      <alignment horizontal="left" vertical="top"/>
    </xf>
    <xf numFmtId="0" fontId="16" fillId="0" borderId="0" xfId="0" applyFont="1"/>
    <xf numFmtId="0" fontId="7" fillId="8" borderId="0" xfId="1" applyFont="1" applyFill="1" applyAlignment="1">
      <alignment horizontal="left" vertical="top"/>
    </xf>
    <xf numFmtId="0" fontId="7" fillId="0" borderId="0" xfId="0" applyFont="1"/>
    <xf numFmtId="0" fontId="7" fillId="8" borderId="0" xfId="1" applyFont="1" applyFill="1" applyBorder="1" applyAlignment="1">
      <alignment horizontal="left" vertical="top"/>
    </xf>
    <xf numFmtId="0" fontId="17" fillId="8" borderId="0" xfId="1" applyFont="1" applyFill="1" applyAlignment="1">
      <alignment horizontal="left" vertical="top"/>
    </xf>
    <xf numFmtId="14" fontId="17" fillId="8" borderId="0" xfId="1" applyNumberFormat="1" applyFont="1" applyFill="1" applyAlignment="1">
      <alignment horizontal="left" vertical="top"/>
    </xf>
    <xf numFmtId="0" fontId="18" fillId="8" borderId="0" xfId="1" applyFont="1" applyFill="1" applyAlignment="1">
      <alignment wrapText="1"/>
    </xf>
    <xf numFmtId="0" fontId="9" fillId="13" borderId="12" xfId="2" applyFont="1" applyFill="1" applyBorder="1" applyAlignment="1" applyProtection="1">
      <alignment horizontal="left" vertical="top" wrapText="1"/>
    </xf>
    <xf numFmtId="0" fontId="9" fillId="12" borderId="12" xfId="2" applyFont="1" applyFill="1" applyBorder="1" applyAlignment="1" applyProtection="1">
      <alignment horizontal="left" vertical="top" wrapText="1"/>
    </xf>
    <xf numFmtId="0" fontId="9" fillId="11" borderId="9" xfId="2" applyFont="1" applyFill="1" applyBorder="1" applyAlignment="1" applyProtection="1">
      <alignment horizontal="left" vertical="top" wrapText="1"/>
    </xf>
    <xf numFmtId="0" fontId="15" fillId="10" borderId="9" xfId="2" applyFont="1" applyFill="1" applyBorder="1" applyAlignment="1" applyProtection="1">
      <alignment horizontal="left" vertical="top" wrapText="1"/>
    </xf>
    <xf numFmtId="0" fontId="9" fillId="9" borderId="9" xfId="2" applyFont="1" applyFill="1" applyBorder="1" applyAlignment="1" applyProtection="1">
      <alignment horizontal="left" vertical="top" wrapText="1"/>
    </xf>
    <xf numFmtId="0" fontId="11" fillId="8" borderId="10" xfId="1" applyFont="1" applyFill="1" applyBorder="1" applyAlignment="1">
      <alignment wrapText="1"/>
    </xf>
    <xf numFmtId="0" fontId="2" fillId="2" borderId="0" xfId="0" applyNumberFormat="1" applyFont="1" applyFill="1" applyProtection="1"/>
  </cellXfs>
  <cellStyles count="3">
    <cellStyle name="Link" xfId="2" builtinId="8"/>
    <cellStyle name="Standard" xfId="0" builtinId="0"/>
    <cellStyle name="Standard 2" xfId="1"/>
  </cellStyles>
  <dxfs count="0"/>
  <tableStyles count="0" defaultTableStyle="TableStyleMedium2" defaultPivotStyle="PivotStyleLight16"/>
  <colors>
    <mruColors>
      <color rgb="FF53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89095</xdr:colOff>
      <xdr:row>1</xdr:row>
      <xdr:rowOff>53340</xdr:rowOff>
    </xdr:from>
    <xdr:to>
      <xdr:col>2</xdr:col>
      <xdr:colOff>1596772</xdr:colOff>
      <xdr:row>4</xdr:row>
      <xdr:rowOff>102945</xdr:rowOff>
    </xdr:to>
    <xdr:pic>
      <xdr:nvPicPr>
        <xdr:cNvPr id="6" name="Grafik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9935" y="236220"/>
          <a:ext cx="1942017" cy="598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0</xdr:row>
      <xdr:rowOff>38100</xdr:rowOff>
    </xdr:from>
    <xdr:to>
      <xdr:col>8</xdr:col>
      <xdr:colOff>695325</xdr:colOff>
      <xdr:row>3</xdr:row>
      <xdr:rowOff>33866</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100" y="38100"/>
          <a:ext cx="21727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0</xdr:row>
      <xdr:rowOff>95251</xdr:rowOff>
    </xdr:from>
    <xdr:to>
      <xdr:col>8</xdr:col>
      <xdr:colOff>695325</xdr:colOff>
      <xdr:row>3</xdr:row>
      <xdr:rowOff>93134</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9167" y="95251"/>
          <a:ext cx="2172758" cy="6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47625</xdr:rowOff>
    </xdr:from>
    <xdr:to>
      <xdr:col>8</xdr:col>
      <xdr:colOff>752475</xdr:colOff>
      <xdr:row>3</xdr:row>
      <xdr:rowOff>38100</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3450" y="47625"/>
          <a:ext cx="21050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22861</xdr:colOff>
      <xdr:row>0</xdr:row>
      <xdr:rowOff>57150</xdr:rowOff>
    </xdr:from>
    <xdr:to>
      <xdr:col>4</xdr:col>
      <xdr:colOff>906781</xdr:colOff>
      <xdr:row>3</xdr:row>
      <xdr:rowOff>0</xdr:rowOff>
    </xdr:to>
    <xdr:pic>
      <xdr:nvPicPr>
        <xdr:cNvPr id="4" name="Grafik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0521" y="57150"/>
          <a:ext cx="1927860" cy="575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15241</xdr:colOff>
      <xdr:row>0</xdr:row>
      <xdr:rowOff>76712</xdr:rowOff>
    </xdr:from>
    <xdr:to>
      <xdr:col>4</xdr:col>
      <xdr:colOff>975360</xdr:colOff>
      <xdr:row>3</xdr:row>
      <xdr:rowOff>38099</xdr:rowOff>
    </xdr:to>
    <xdr:pic>
      <xdr:nvPicPr>
        <xdr:cNvPr id="6" name="Grafik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4841" y="76712"/>
          <a:ext cx="1996439" cy="593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171450</xdr:colOff>
      <xdr:row>0</xdr:row>
      <xdr:rowOff>47625</xdr:rowOff>
    </xdr:from>
    <xdr:to>
      <xdr:col>8</xdr:col>
      <xdr:colOff>752475</xdr:colOff>
      <xdr:row>3</xdr:row>
      <xdr:rowOff>38100</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3450" y="47625"/>
          <a:ext cx="21050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ohannsen\Desktop\Kopie%20von%20DP%20LKSH%202021%201.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auslagerung_DPL"/>
      <sheetName val="Schlagimport"/>
      <sheetName val="Kultur Code"/>
      <sheetName val="Zwischenfrucht Leguminosen"/>
      <sheetName val="Ernterest"/>
      <sheetName val="Ertrag 3jährig"/>
      <sheetName val="Menü"/>
      <sheetName val="Anbaudaten"/>
      <sheetName val="Nährstoffbedarf"/>
      <sheetName val="Düngemittelbedarf"/>
      <sheetName val="WD Analyse"/>
      <sheetName val="organische Düngung"/>
      <sheetName val="Mi"/>
      <sheetName val="Lager"/>
      <sheetName val="WD-Umfang"/>
      <sheetName val="_Mineraldünger"/>
      <sheetName val="Druck Düngeplan"/>
      <sheetName val="Düngedoku"/>
      <sheetName val="Dgm"/>
      <sheetName val="Druck DüV"/>
      <sheetName val="Druck Datensammlung"/>
      <sheetName val="Druck Veg anp"/>
      <sheetName val="Druck Herbstdng"/>
      <sheetName val="_Infokästen"/>
      <sheetName val="_Entwickler"/>
      <sheetName val="_Bodenart"/>
      <sheetName val="_Vorfrucht"/>
      <sheetName val="_Kalk"/>
      <sheetName val="_Humus"/>
      <sheetName val="_Kulturen"/>
      <sheetName val="_N-Bedarfswerte"/>
      <sheetName val="_WD-MDÄ"/>
      <sheetName val="_Grunddüng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rtmanns@lksh.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tabSelected="1" showRuler="0" zoomScaleNormal="100" zoomScaleSheetLayoutView="100" workbookViewId="0">
      <selection activeCell="C8" sqref="C8"/>
    </sheetView>
  </sheetViews>
  <sheetFormatPr baseColWidth="10" defaultRowHeight="14.4" x14ac:dyDescent="0.3"/>
  <cols>
    <col min="1" max="1" width="98" customWidth="1"/>
    <col min="2" max="2" width="6.33203125" customWidth="1"/>
    <col min="3" max="3" width="25.5546875" customWidth="1"/>
  </cols>
  <sheetData>
    <row r="1" spans="1:3" x14ac:dyDescent="0.3">
      <c r="A1" s="56"/>
      <c r="B1" s="55"/>
      <c r="C1" s="55"/>
    </row>
    <row r="2" spans="1:3" ht="21" x14ac:dyDescent="0.4">
      <c r="A2" s="75" t="s">
        <v>149</v>
      </c>
      <c r="B2" s="55"/>
      <c r="C2" s="55"/>
    </row>
    <row r="3" spans="1:3" ht="8.25" customHeight="1" x14ac:dyDescent="0.3">
      <c r="A3" s="56"/>
      <c r="B3" s="55"/>
      <c r="C3" s="55"/>
    </row>
    <row r="4" spans="1:3" x14ac:dyDescent="0.3">
      <c r="A4" s="65" t="s">
        <v>162</v>
      </c>
      <c r="B4" s="63"/>
      <c r="C4" s="63"/>
    </row>
    <row r="5" spans="1:3" ht="56.4" customHeight="1" x14ac:dyDescent="0.3">
      <c r="A5" s="66" t="s">
        <v>184</v>
      </c>
      <c r="B5" s="63"/>
      <c r="C5" s="63"/>
    </row>
    <row r="6" spans="1:3" x14ac:dyDescent="0.3">
      <c r="A6" s="65" t="s">
        <v>161</v>
      </c>
      <c r="B6" s="63" t="s">
        <v>160</v>
      </c>
      <c r="C6" s="63" t="s">
        <v>159</v>
      </c>
    </row>
    <row r="7" spans="1:3" ht="16.5" customHeight="1" x14ac:dyDescent="0.3">
      <c r="A7" s="64" t="s">
        <v>163</v>
      </c>
      <c r="B7" s="63"/>
      <c r="C7" s="62" t="s">
        <v>158</v>
      </c>
    </row>
    <row r="8" spans="1:3" ht="28.2" thickBot="1" x14ac:dyDescent="0.35">
      <c r="A8" s="81" t="s">
        <v>171</v>
      </c>
      <c r="B8" s="55"/>
      <c r="C8" s="55"/>
    </row>
    <row r="9" spans="1:3" s="71" customFormat="1" ht="15" thickBot="1" x14ac:dyDescent="0.35">
      <c r="A9" s="76" t="s">
        <v>164</v>
      </c>
      <c r="B9" s="73" t="s">
        <v>157</v>
      </c>
      <c r="C9" s="74">
        <v>45271</v>
      </c>
    </row>
    <row r="10" spans="1:3" ht="32.25" customHeight="1" thickBot="1" x14ac:dyDescent="0.35">
      <c r="A10" s="60" t="s">
        <v>156</v>
      </c>
      <c r="B10" s="57"/>
      <c r="C10" s="57"/>
    </row>
    <row r="11" spans="1:3" s="71" customFormat="1" ht="15" thickBot="1" x14ac:dyDescent="0.35">
      <c r="A11" s="77" t="s">
        <v>165</v>
      </c>
      <c r="B11" s="70"/>
      <c r="C11" s="70"/>
    </row>
    <row r="12" spans="1:3" ht="30" customHeight="1" x14ac:dyDescent="0.3">
      <c r="A12" s="58" t="s">
        <v>170</v>
      </c>
      <c r="B12" s="73"/>
      <c r="C12" s="57"/>
    </row>
    <row r="13" spans="1:3" ht="16.5" customHeight="1" x14ac:dyDescent="0.3">
      <c r="A13" s="58" t="s">
        <v>166</v>
      </c>
      <c r="B13" s="57"/>
      <c r="C13" s="57"/>
    </row>
    <row r="14" spans="1:3" ht="29.4" thickBot="1" x14ac:dyDescent="0.35">
      <c r="A14" s="61" t="s">
        <v>155</v>
      </c>
      <c r="B14" s="57"/>
      <c r="C14" s="57"/>
    </row>
    <row r="15" spans="1:3" s="71" customFormat="1" ht="15" thickBot="1" x14ac:dyDescent="0.35">
      <c r="A15" s="78" t="s">
        <v>167</v>
      </c>
      <c r="B15" s="72"/>
      <c r="C15" s="70"/>
    </row>
    <row r="16" spans="1:3" ht="29.4" thickBot="1" x14ac:dyDescent="0.35">
      <c r="A16" s="60" t="s">
        <v>154</v>
      </c>
      <c r="B16" s="57"/>
      <c r="C16" s="57"/>
    </row>
    <row r="17" spans="1:3" s="69" customFormat="1" ht="15" thickBot="1" x14ac:dyDescent="0.35">
      <c r="A17" s="79" t="s">
        <v>168</v>
      </c>
      <c r="B17" s="68"/>
      <c r="C17" s="68"/>
    </row>
    <row r="18" spans="1:3" ht="17.399999999999999" customHeight="1" x14ac:dyDescent="0.3">
      <c r="A18" s="58" t="s">
        <v>153</v>
      </c>
      <c r="B18" s="57"/>
      <c r="C18" s="67"/>
    </row>
    <row r="19" spans="1:3" ht="18.75" customHeight="1" x14ac:dyDescent="0.3">
      <c r="A19" s="58" t="s">
        <v>152</v>
      </c>
      <c r="B19" s="57"/>
      <c r="C19" s="57"/>
    </row>
    <row r="20" spans="1:3" ht="15" thickBot="1" x14ac:dyDescent="0.35">
      <c r="A20" s="59" t="s">
        <v>151</v>
      </c>
      <c r="B20" s="57"/>
      <c r="C20" s="57"/>
    </row>
    <row r="21" spans="1:3" s="71" customFormat="1" ht="15" thickBot="1" x14ac:dyDescent="0.35">
      <c r="A21" s="80" t="s">
        <v>169</v>
      </c>
      <c r="B21" s="70"/>
      <c r="C21" s="70"/>
    </row>
    <row r="22" spans="1:3" ht="39.75" customHeight="1" x14ac:dyDescent="0.3">
      <c r="A22" s="58" t="s">
        <v>150</v>
      </c>
      <c r="B22" s="57"/>
      <c r="C22" s="57"/>
    </row>
  </sheetData>
  <sheetProtection algorithmName="SHA-512" hashValue="KkwC6jV6C/GIOBnO6FIy7ECY1cr7cJ91rP6pspN/zzQ/NsjX0d180LbH1jp3QFUFh9k6GIgJarNZpl1rPkRFpg==" saltValue="FkaFHYGWlBOXX0z+N5iLAg==" spinCount="100000" sheet="1" objects="1" scenarios="1"/>
  <hyperlinks>
    <hyperlink ref="C7" r:id="rId1"/>
    <hyperlink ref="A11" location="Ökolandbau!A1" display="Berechnunsgblatt &quot;Ökolandbau (2)&quot;"/>
    <hyperlink ref="A15" location="'NZP, AGZ, Zwischensumme'!A1" display="Berechnungsblatt &quot;NZP, AGZ, Zwischensumme (3)&quot;"/>
    <hyperlink ref="A17" location="'Vertragsnaturschutz 1'!A1" display="Berechnunsgblätter &quot;Vetragsnaturschutz (4+5)&quot;"/>
    <hyperlink ref="A21" location="'Summen mit VNS'!A1" display="Berechnungsblatt &quot;Summen mit VNS (6)&quot;"/>
    <hyperlink ref="A9" location="'1. Säule'!A1" display="Berehnungsblatt &quot;1. Säule (1)&quot;"/>
  </hyperlinks>
  <pageMargins left="0.70866141732283472" right="0.70866141732283472" top="0.78740157480314965" bottom="0.78740157480314965" header="0.31496062992125984"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6"/>
  <sheetViews>
    <sheetView zoomScale="90" zoomScaleNormal="90" workbookViewId="0">
      <selection activeCell="D7" sqref="D7"/>
    </sheetView>
  </sheetViews>
  <sheetFormatPr baseColWidth="10" defaultRowHeight="14.4" x14ac:dyDescent="0.3"/>
  <cols>
    <col min="1" max="1" width="14.5546875" customWidth="1"/>
    <col min="3" max="3" width="24.88671875" customWidth="1"/>
  </cols>
  <sheetData>
    <row r="1" spans="1:9" ht="21" x14ac:dyDescent="0.4">
      <c r="A1" s="7" t="s">
        <v>149</v>
      </c>
      <c r="B1" s="1"/>
      <c r="C1" s="1"/>
      <c r="D1" s="1"/>
      <c r="E1" s="1"/>
      <c r="F1" s="1"/>
      <c r="G1" s="1"/>
      <c r="H1" s="1"/>
      <c r="I1" s="1"/>
    </row>
    <row r="2" spans="1:9" x14ac:dyDescent="0.3">
      <c r="A2" s="1"/>
      <c r="B2" s="1"/>
      <c r="C2" s="1"/>
      <c r="D2" s="1"/>
      <c r="E2" s="1"/>
      <c r="F2" s="1"/>
      <c r="G2" s="1"/>
      <c r="H2" s="1"/>
      <c r="I2" s="1"/>
    </row>
    <row r="3" spans="1:9" x14ac:dyDescent="0.3">
      <c r="A3" s="1"/>
      <c r="B3" s="1" t="s">
        <v>144</v>
      </c>
      <c r="C3" s="21"/>
      <c r="D3" s="50"/>
      <c r="E3" s="1"/>
      <c r="F3" s="1"/>
      <c r="G3" s="1"/>
      <c r="H3" s="1"/>
      <c r="I3" s="1"/>
    </row>
    <row r="4" spans="1:9" x14ac:dyDescent="0.3">
      <c r="A4" s="1"/>
      <c r="B4" s="1" t="s">
        <v>145</v>
      </c>
      <c r="C4" s="51"/>
      <c r="D4" s="50"/>
      <c r="E4" s="1"/>
      <c r="F4" s="1"/>
      <c r="G4" s="1"/>
      <c r="H4" s="1"/>
      <c r="I4" s="1"/>
    </row>
    <row r="5" spans="1:9" ht="15" thickBot="1" x14ac:dyDescent="0.35">
      <c r="A5" s="1"/>
      <c r="B5" s="1"/>
      <c r="C5" s="1"/>
      <c r="D5" s="1"/>
      <c r="E5" s="1"/>
      <c r="F5" s="1"/>
      <c r="G5" s="1"/>
      <c r="H5" s="1"/>
      <c r="I5" s="1"/>
    </row>
    <row r="6" spans="1:9" x14ac:dyDescent="0.3">
      <c r="A6" s="1"/>
      <c r="B6" s="11" t="s">
        <v>5</v>
      </c>
      <c r="C6" s="12" t="s">
        <v>6</v>
      </c>
      <c r="D6" s="18"/>
      <c r="E6" s="1"/>
      <c r="F6" s="1"/>
      <c r="G6" s="1"/>
      <c r="H6" s="1"/>
      <c r="I6" s="1"/>
    </row>
    <row r="7" spans="1:9" x14ac:dyDescent="0.3">
      <c r="A7" s="1"/>
      <c r="B7" s="13"/>
      <c r="C7" s="14" t="s">
        <v>7</v>
      </c>
      <c r="D7" s="19"/>
      <c r="E7" s="1"/>
      <c r="F7" s="1"/>
      <c r="G7" s="1"/>
      <c r="H7" s="1"/>
      <c r="I7" s="1"/>
    </row>
    <row r="8" spans="1:9" x14ac:dyDescent="0.3">
      <c r="A8" s="1"/>
      <c r="B8" s="13"/>
      <c r="C8" s="14" t="s">
        <v>172</v>
      </c>
      <c r="D8" s="19"/>
      <c r="E8" s="1"/>
      <c r="F8" s="1"/>
      <c r="G8" s="1"/>
      <c r="H8" s="1"/>
      <c r="I8" s="1"/>
    </row>
    <row r="9" spans="1:9" x14ac:dyDescent="0.3">
      <c r="A9" s="1"/>
      <c r="B9" s="13"/>
      <c r="C9" s="14" t="s">
        <v>36</v>
      </c>
      <c r="D9" s="19"/>
      <c r="E9" s="1"/>
      <c r="F9" s="1"/>
      <c r="G9" s="1"/>
      <c r="H9" s="1"/>
      <c r="I9" s="1"/>
    </row>
    <row r="10" spans="1:9" x14ac:dyDescent="0.3">
      <c r="A10" s="1"/>
      <c r="B10" s="13"/>
      <c r="C10" s="14" t="s">
        <v>3</v>
      </c>
      <c r="D10" s="15">
        <f>SUM(D6:D9)</f>
        <v>0</v>
      </c>
      <c r="E10" s="1"/>
      <c r="F10" s="1"/>
      <c r="G10" s="1"/>
      <c r="H10" s="1"/>
      <c r="I10" s="1"/>
    </row>
    <row r="11" spans="1:9" x14ac:dyDescent="0.3">
      <c r="A11" s="1"/>
      <c r="B11" s="13"/>
      <c r="C11" s="14"/>
      <c r="D11" s="15"/>
      <c r="E11" s="1"/>
      <c r="F11" s="1"/>
      <c r="G11" s="1"/>
      <c r="H11" s="1"/>
      <c r="I11" s="1"/>
    </row>
    <row r="12" spans="1:9" ht="15" thickBot="1" x14ac:dyDescent="0.35">
      <c r="A12" s="1"/>
      <c r="B12" s="16" t="s">
        <v>29</v>
      </c>
      <c r="C12" s="17"/>
      <c r="D12" s="20" t="s">
        <v>27</v>
      </c>
      <c r="E12" s="1"/>
      <c r="F12" s="1"/>
      <c r="G12" s="1"/>
      <c r="H12" s="1"/>
      <c r="I12" s="1"/>
    </row>
    <row r="13" spans="1:9" x14ac:dyDescent="0.3">
      <c r="A13" s="1"/>
      <c r="B13" s="1"/>
      <c r="C13" s="1"/>
      <c r="D13" s="1"/>
      <c r="E13" s="1"/>
      <c r="F13" s="1"/>
      <c r="G13" s="1"/>
      <c r="H13" s="1"/>
      <c r="I13" s="1"/>
    </row>
    <row r="14" spans="1:9" x14ac:dyDescent="0.3">
      <c r="A14" s="1" t="s">
        <v>28</v>
      </c>
      <c r="B14" s="1"/>
      <c r="C14" s="1"/>
      <c r="D14" s="1"/>
      <c r="E14" s="1"/>
      <c r="F14" s="1">
        <v>2023</v>
      </c>
      <c r="G14" s="1">
        <v>2024</v>
      </c>
      <c r="H14" s="1">
        <v>2025</v>
      </c>
      <c r="I14" s="1">
        <v>2026</v>
      </c>
    </row>
    <row r="15" spans="1:9" x14ac:dyDescent="0.3">
      <c r="A15" s="1"/>
      <c r="B15" s="1"/>
      <c r="C15" s="1"/>
      <c r="D15" s="1"/>
      <c r="E15" s="1"/>
      <c r="F15" s="1"/>
      <c r="G15" s="1"/>
      <c r="H15" s="1"/>
      <c r="I15" s="1"/>
    </row>
    <row r="16" spans="1:9" x14ac:dyDescent="0.3">
      <c r="A16" s="8" t="s">
        <v>20</v>
      </c>
      <c r="B16" s="8" t="s">
        <v>192</v>
      </c>
      <c r="C16" s="8" t="s">
        <v>0</v>
      </c>
      <c r="D16" s="8"/>
      <c r="E16" s="8"/>
      <c r="F16" s="8">
        <v>170.93</v>
      </c>
      <c r="G16" s="8">
        <v>154</v>
      </c>
      <c r="H16" s="8">
        <v>151</v>
      </c>
      <c r="I16" s="8">
        <v>146</v>
      </c>
    </row>
    <row r="17" spans="1:9" x14ac:dyDescent="0.3">
      <c r="A17" s="8"/>
      <c r="B17" s="8"/>
      <c r="C17" s="8" t="s">
        <v>3</v>
      </c>
      <c r="D17" s="8"/>
      <c r="E17" s="8"/>
      <c r="F17" s="8">
        <f>D10*F16</f>
        <v>0</v>
      </c>
      <c r="G17" s="8">
        <f>D10*G16</f>
        <v>0</v>
      </c>
      <c r="H17" s="8">
        <f>D10*H16</f>
        <v>0</v>
      </c>
      <c r="I17" s="8">
        <f>D10*I16</f>
        <v>0</v>
      </c>
    </row>
    <row r="18" spans="1:9" x14ac:dyDescent="0.3">
      <c r="A18" s="8"/>
      <c r="B18" s="8"/>
      <c r="C18" s="8"/>
      <c r="D18" s="8"/>
      <c r="E18" s="8"/>
      <c r="F18" s="8"/>
      <c r="G18" s="8"/>
      <c r="H18" s="8"/>
      <c r="I18" s="8"/>
    </row>
    <row r="19" spans="1:9" x14ac:dyDescent="0.3">
      <c r="A19" s="8"/>
      <c r="B19" s="8" t="s">
        <v>1</v>
      </c>
      <c r="C19" s="8"/>
      <c r="D19" s="8"/>
      <c r="E19" s="10" t="s">
        <v>13</v>
      </c>
      <c r="F19" s="8">
        <f>IF(D10&lt;=40,D10*76.28,3051.2)</f>
        <v>0</v>
      </c>
      <c r="G19" s="8">
        <f>IF(D10&lt;=40,D10*68.39,2735.6)</f>
        <v>0</v>
      </c>
      <c r="H19" s="8">
        <f>IF(D10&lt;=40,D10*67.23,2689.2)</f>
        <v>0</v>
      </c>
      <c r="I19" s="8">
        <f>IF(D10&lt;=40,D10*65.31,2612.4)</f>
        <v>0</v>
      </c>
    </row>
    <row r="20" spans="1:9" x14ac:dyDescent="0.3">
      <c r="A20" s="8"/>
      <c r="B20" s="8"/>
      <c r="C20" s="8"/>
      <c r="D20" s="8"/>
      <c r="E20" s="10" t="s">
        <v>14</v>
      </c>
      <c r="F20" s="8">
        <f>IF(D10&lt;=40,0,(IF((D10&gt;40)*AND(D10&lt;=60),(D10-40)*45.76,915.2)))</f>
        <v>0</v>
      </c>
      <c r="G20" s="8">
        <f>IF(D10&lt;=40,0,(IF((D10&gt;40)*AND(D10&lt;=60),(D10-40)*41.03,820.6)))</f>
        <v>0</v>
      </c>
      <c r="H20" s="8">
        <f>IF(D10&lt;=40,0,(IF((D10&gt;40)*AND(D10&lt;=60),(D10-40)*40.34,806.8)))</f>
        <v>0</v>
      </c>
      <c r="I20" s="8">
        <f>IF(D10&lt;=40,0,(IF((D10&gt;40)*AND(D10&lt;=60),(D10-40)*39.19,783.8)))</f>
        <v>0</v>
      </c>
    </row>
    <row r="21" spans="1:9" x14ac:dyDescent="0.3">
      <c r="A21" s="8"/>
      <c r="B21" s="8"/>
      <c r="C21" s="8"/>
      <c r="D21" s="8"/>
      <c r="E21" s="8"/>
      <c r="F21" s="8"/>
      <c r="G21" s="8"/>
      <c r="H21" s="8"/>
      <c r="I21" s="8"/>
    </row>
    <row r="22" spans="1:9" x14ac:dyDescent="0.3">
      <c r="A22" s="8"/>
      <c r="B22" s="8" t="s">
        <v>2</v>
      </c>
      <c r="C22" s="8"/>
      <c r="D22" s="8"/>
      <c r="E22" s="10" t="s">
        <v>25</v>
      </c>
      <c r="F22" s="8">
        <f>IF(D12="ja",IF(D10&lt;=120,D10*141.75,17010),0)</f>
        <v>0</v>
      </c>
      <c r="G22" s="8">
        <f>IF(D12="ja",IF(D10&lt;=120,D10*134.04,16084.8),0)</f>
        <v>0</v>
      </c>
      <c r="H22" s="8">
        <f>IF(D12="ja",IF(D10&lt;=120,D10*134.04,16084.8),0)</f>
        <v>0</v>
      </c>
      <c r="I22" s="8">
        <f>IF(D12="ja",IF(D10&lt;=120,D10*134.04,16084.8),0)</f>
        <v>0</v>
      </c>
    </row>
    <row r="23" spans="1:9" x14ac:dyDescent="0.3">
      <c r="A23" s="8"/>
      <c r="B23" s="8"/>
      <c r="C23" s="8"/>
      <c r="D23" s="8"/>
      <c r="E23" s="8"/>
      <c r="F23" s="8"/>
      <c r="G23" s="8"/>
      <c r="H23" s="8"/>
      <c r="I23" s="8"/>
    </row>
    <row r="24" spans="1:9" x14ac:dyDescent="0.3">
      <c r="A24" s="2" t="s">
        <v>21</v>
      </c>
      <c r="B24" s="2" t="s">
        <v>12</v>
      </c>
      <c r="C24" s="3"/>
      <c r="D24" s="21"/>
      <c r="E24" s="2"/>
      <c r="F24" s="2">
        <f>D24*85.72</f>
        <v>0</v>
      </c>
      <c r="G24" s="2">
        <f>D24*77.06</f>
        <v>0</v>
      </c>
      <c r="H24" s="2">
        <f>D24*75.76</f>
        <v>0</v>
      </c>
      <c r="I24" s="2">
        <f>D24*73.6</f>
        <v>0</v>
      </c>
    </row>
    <row r="25" spans="1:9" x14ac:dyDescent="0.3">
      <c r="A25" s="2"/>
      <c r="B25" s="2" t="s">
        <v>24</v>
      </c>
      <c r="C25" s="3"/>
      <c r="D25" s="21"/>
      <c r="E25" s="2"/>
      <c r="F25" s="2">
        <f>D25*38.31</f>
        <v>0</v>
      </c>
      <c r="G25" s="2">
        <f>D25*34.44</f>
        <v>0</v>
      </c>
      <c r="H25" s="2">
        <f>D25*33.86</f>
        <v>0</v>
      </c>
      <c r="I25" s="2">
        <f>D25*32.89</f>
        <v>0</v>
      </c>
    </row>
    <row r="26" spans="1:9" x14ac:dyDescent="0.3">
      <c r="A26" s="2"/>
      <c r="B26" s="2"/>
      <c r="C26" s="2"/>
      <c r="D26" s="2"/>
      <c r="E26" s="2"/>
      <c r="F26" s="2"/>
      <c r="G26" s="2"/>
      <c r="H26" s="2"/>
      <c r="I26" s="2"/>
    </row>
    <row r="27" spans="1:9" x14ac:dyDescent="0.3">
      <c r="A27" s="4" t="s">
        <v>190</v>
      </c>
      <c r="B27" s="4" t="s">
        <v>65</v>
      </c>
      <c r="C27" s="4"/>
      <c r="D27" s="23"/>
      <c r="E27" s="5" t="s">
        <v>18</v>
      </c>
      <c r="F27" s="4">
        <f>IF(D6&gt;0,(IF(((D27+D30)/D6)&lt;=1%,D6*((D27+D30)/D6)*1300,D6*1%*1300)),0)</f>
        <v>0</v>
      </c>
      <c r="G27" s="4">
        <f t="shared" ref="G27:G36" si="0">F27</f>
        <v>0</v>
      </c>
      <c r="H27" s="4">
        <f t="shared" ref="H27:H36" si="1">F27</f>
        <v>0</v>
      </c>
      <c r="I27" s="4">
        <f t="shared" ref="I27:I36" si="2">F27</f>
        <v>0</v>
      </c>
    </row>
    <row r="28" spans="1:9" x14ac:dyDescent="0.3">
      <c r="A28" s="4"/>
      <c r="B28" s="4"/>
      <c r="C28" s="4"/>
      <c r="D28" s="4"/>
      <c r="E28" s="5" t="s">
        <v>19</v>
      </c>
      <c r="F28" s="4">
        <f>IF(D6&gt;0,(IF(((D27+D30)/D6)&lt;=1%,0,(IF((((D27+D30)/D6)&gt;1%)*AND(((D27+D30)/D6)&lt;=2%),(((D27+D30)/D6)-1%)*D6*500,D6*1%*500)))),0)</f>
        <v>0</v>
      </c>
      <c r="G28" s="4">
        <f t="shared" si="0"/>
        <v>0</v>
      </c>
      <c r="H28" s="4">
        <f t="shared" si="1"/>
        <v>0</v>
      </c>
      <c r="I28" s="4">
        <f t="shared" si="2"/>
        <v>0</v>
      </c>
    </row>
    <row r="29" spans="1:9" x14ac:dyDescent="0.3">
      <c r="A29" s="4"/>
      <c r="B29" s="4"/>
      <c r="C29" s="4"/>
      <c r="D29" s="4"/>
      <c r="E29" s="6" t="s">
        <v>142</v>
      </c>
      <c r="F29" s="4">
        <f>IF(D6&gt;0,(IF(((D27+D30)/D6)&lt;=2%,0,(IF((((D27+D30)/D6)&gt;2%)*AND(((D27+D30)/D6)&lt;=6%),(((D27+D30)/D6)-2%)*D6*300,D6*4%*300)))),0)</f>
        <v>0</v>
      </c>
      <c r="G29" s="4">
        <f t="shared" si="0"/>
        <v>0</v>
      </c>
      <c r="H29" s="4">
        <f t="shared" si="1"/>
        <v>0</v>
      </c>
      <c r="I29" s="4">
        <f t="shared" si="2"/>
        <v>0</v>
      </c>
    </row>
    <row r="30" spans="1:9" x14ac:dyDescent="0.3">
      <c r="A30" s="4"/>
      <c r="B30" s="4" t="s">
        <v>64</v>
      </c>
      <c r="C30" s="4"/>
      <c r="D30" s="23"/>
      <c r="E30" s="5" t="s">
        <v>31</v>
      </c>
      <c r="F30" s="4">
        <f>IF(D6=0,0,IF(D30&gt;D6*6%,D6*6%*150,D30*150))</f>
        <v>0</v>
      </c>
      <c r="G30" s="4">
        <f>IF(D6=0,0,IF(D30&gt;D6*6%,D6*6%*200,D30*200))</f>
        <v>0</v>
      </c>
      <c r="H30" s="4">
        <f>IF(D6=0,0,IF(D30&gt;D6*6%,D6*6%*200,D30*200))</f>
        <v>0</v>
      </c>
      <c r="I30" s="4">
        <f>IF(D6=0,0,IF(D30&gt;D6*6%,D6*6%*200,D30*200))</f>
        <v>0</v>
      </c>
    </row>
    <row r="31" spans="1:9" x14ac:dyDescent="0.3">
      <c r="A31" s="4"/>
      <c r="B31" s="4"/>
      <c r="C31" s="4"/>
      <c r="D31" s="4"/>
      <c r="E31" s="6"/>
      <c r="F31" s="4"/>
      <c r="G31" s="4"/>
      <c r="H31" s="4"/>
      <c r="I31" s="4"/>
    </row>
    <row r="32" spans="1:9" x14ac:dyDescent="0.3">
      <c r="A32" s="4"/>
      <c r="B32" s="4" t="s">
        <v>57</v>
      </c>
      <c r="C32" s="4"/>
      <c r="D32" s="21"/>
      <c r="E32" s="6"/>
      <c r="F32" s="4">
        <f>D32*150</f>
        <v>0</v>
      </c>
      <c r="G32" s="4">
        <f>D32*200</f>
        <v>0</v>
      </c>
      <c r="H32" s="4">
        <f>D32*200</f>
        <v>0</v>
      </c>
      <c r="I32" s="4">
        <f>D32*200</f>
        <v>0</v>
      </c>
    </row>
    <row r="33" spans="1:9" x14ac:dyDescent="0.3">
      <c r="A33" s="4"/>
      <c r="B33" s="4"/>
      <c r="C33" s="4"/>
      <c r="D33" s="4"/>
      <c r="E33" s="6"/>
      <c r="F33" s="4"/>
      <c r="G33" s="4"/>
      <c r="H33" s="4"/>
      <c r="I33" s="4"/>
    </row>
    <row r="34" spans="1:9" x14ac:dyDescent="0.3">
      <c r="A34" s="4"/>
      <c r="B34" s="4" t="s">
        <v>30</v>
      </c>
      <c r="C34" s="4"/>
      <c r="D34" s="23"/>
      <c r="E34" s="6" t="s">
        <v>18</v>
      </c>
      <c r="F34" s="4">
        <f>IF(D7&gt;0,(IF((D34/D7)&lt;=1%,D7*(D34/D7)*900,D7*1%*900)),0)</f>
        <v>0</v>
      </c>
      <c r="G34" s="4">
        <f t="shared" si="0"/>
        <v>0</v>
      </c>
      <c r="H34" s="4">
        <f t="shared" si="1"/>
        <v>0</v>
      </c>
      <c r="I34" s="4">
        <f t="shared" si="2"/>
        <v>0</v>
      </c>
    </row>
    <row r="35" spans="1:9" x14ac:dyDescent="0.3">
      <c r="A35" s="4"/>
      <c r="B35" s="4"/>
      <c r="C35" s="4"/>
      <c r="D35" s="4"/>
      <c r="E35" s="6" t="s">
        <v>17</v>
      </c>
      <c r="F35" s="4">
        <f>IF(D7&gt;0,(IF((D34/D7)&lt;=1%,0,(IF(((D34/D7)&gt;1%)*AND((D34/D7)&lt;=3%),((D34/D7)-1%)*D7*400,D7*2%*400)))),0)</f>
        <v>0</v>
      </c>
      <c r="G35" s="4">
        <f t="shared" si="0"/>
        <v>0</v>
      </c>
      <c r="H35" s="4">
        <f t="shared" si="1"/>
        <v>0</v>
      </c>
      <c r="I35" s="4">
        <f t="shared" si="2"/>
        <v>0</v>
      </c>
    </row>
    <row r="36" spans="1:9" x14ac:dyDescent="0.3">
      <c r="A36" s="4"/>
      <c r="B36" s="4"/>
      <c r="C36" s="4"/>
      <c r="D36" s="4" t="s">
        <v>15</v>
      </c>
      <c r="E36" s="6" t="s">
        <v>16</v>
      </c>
      <c r="F36" s="4">
        <f>IF(D7&gt;0,(IF((D34/D7)&lt;=3%,0,(IF(((D34/D7)&gt;3%)*AND((D34/D7)&lt;=6%),((D34/D7)-3%)*D7*200,D7*3%*200)))),0)</f>
        <v>0</v>
      </c>
      <c r="G36" s="4">
        <f t="shared" si="0"/>
        <v>0</v>
      </c>
      <c r="H36" s="4">
        <f t="shared" si="1"/>
        <v>0</v>
      </c>
      <c r="I36" s="4">
        <f t="shared" si="2"/>
        <v>0</v>
      </c>
    </row>
    <row r="37" spans="1:9" x14ac:dyDescent="0.3">
      <c r="A37" s="4"/>
      <c r="B37" s="4"/>
      <c r="C37" s="4"/>
      <c r="D37" s="4"/>
      <c r="E37" s="4"/>
      <c r="F37" s="4"/>
      <c r="G37" s="4"/>
      <c r="H37" s="4"/>
      <c r="I37" s="4"/>
    </row>
    <row r="38" spans="1:9" x14ac:dyDescent="0.3">
      <c r="A38" s="4"/>
      <c r="B38" s="4" t="s">
        <v>26</v>
      </c>
      <c r="C38" s="4"/>
      <c r="D38" s="22" t="s">
        <v>27</v>
      </c>
      <c r="E38" s="4"/>
      <c r="F38" s="4">
        <f>IF(D38="ja",D6*45,0)</f>
        <v>0</v>
      </c>
      <c r="G38" s="4">
        <f>IF(D38="ja",D6*60,0)</f>
        <v>0</v>
      </c>
      <c r="H38" s="4">
        <f>IF(D38="ja",D6*60,0)</f>
        <v>0</v>
      </c>
      <c r="I38" s="4">
        <f>IF(D38="ja",D6*60,0)</f>
        <v>0</v>
      </c>
    </row>
    <row r="39" spans="1:9" x14ac:dyDescent="0.3">
      <c r="A39" s="4"/>
      <c r="B39" s="4"/>
      <c r="C39" s="4"/>
      <c r="D39" s="4"/>
      <c r="E39" s="4"/>
      <c r="F39" s="4"/>
      <c r="G39" s="4"/>
      <c r="H39" s="4"/>
      <c r="I39" s="4"/>
    </row>
    <row r="40" spans="1:9" x14ac:dyDescent="0.3">
      <c r="A40" s="4"/>
      <c r="B40" s="4" t="s">
        <v>11</v>
      </c>
      <c r="C40" s="4"/>
      <c r="D40" s="21"/>
      <c r="E40" s="4"/>
      <c r="F40" s="4">
        <f>D40*60</f>
        <v>0</v>
      </c>
      <c r="G40" s="4">
        <f>D40*200</f>
        <v>0</v>
      </c>
      <c r="H40" s="4">
        <f>D40*200</f>
        <v>0</v>
      </c>
      <c r="I40" s="4">
        <f>D40*200</f>
        <v>0</v>
      </c>
    </row>
    <row r="41" spans="1:9" x14ac:dyDescent="0.3">
      <c r="A41" s="4"/>
      <c r="B41" s="4"/>
      <c r="C41" s="4"/>
      <c r="D41" s="4"/>
      <c r="E41" s="4"/>
      <c r="F41" s="4"/>
      <c r="G41" s="4"/>
      <c r="H41" s="4"/>
      <c r="I41" s="4"/>
    </row>
    <row r="42" spans="1:9" x14ac:dyDescent="0.3">
      <c r="A42" s="4"/>
      <c r="B42" s="4" t="s">
        <v>4</v>
      </c>
      <c r="C42" s="4"/>
      <c r="D42" s="22" t="s">
        <v>27</v>
      </c>
      <c r="E42" s="4"/>
      <c r="F42" s="4">
        <f>IF(D42="ja",D7*115,0)</f>
        <v>0</v>
      </c>
      <c r="G42" s="4">
        <f>IF(D42="ja",D7*100,0)</f>
        <v>0</v>
      </c>
      <c r="H42" s="4">
        <f>IF(D42="ja",D7*100,0)</f>
        <v>0</v>
      </c>
      <c r="I42" s="4">
        <f>IF(D42="ja",D7*100,0)</f>
        <v>0</v>
      </c>
    </row>
    <row r="43" spans="1:9" x14ac:dyDescent="0.3">
      <c r="A43" s="4"/>
      <c r="B43" s="4" t="s">
        <v>188</v>
      </c>
      <c r="C43" s="4"/>
      <c r="D43" s="21"/>
      <c r="E43" s="4"/>
      <c r="F43" s="4">
        <f>D43*240</f>
        <v>0</v>
      </c>
      <c r="G43" s="4">
        <f>D43*240</f>
        <v>0</v>
      </c>
      <c r="H43" s="4">
        <f>D43*225</f>
        <v>0</v>
      </c>
      <c r="I43" s="4">
        <f>D43*210</f>
        <v>0</v>
      </c>
    </row>
    <row r="44" spans="1:9" x14ac:dyDescent="0.3">
      <c r="A44" s="4"/>
      <c r="B44" s="4"/>
      <c r="C44" s="4"/>
      <c r="D44" s="4"/>
      <c r="E44" s="4"/>
      <c r="F44" s="4"/>
      <c r="G44" s="4"/>
      <c r="H44" s="4"/>
      <c r="I44" s="4"/>
    </row>
    <row r="45" spans="1:9" x14ac:dyDescent="0.3">
      <c r="A45" s="4"/>
      <c r="B45" s="4" t="s">
        <v>53</v>
      </c>
      <c r="C45" s="4"/>
      <c r="D45" s="21"/>
      <c r="E45" s="4"/>
      <c r="F45" s="4">
        <f>D45*130</f>
        <v>0</v>
      </c>
      <c r="G45" s="4">
        <f>D45*150</f>
        <v>0</v>
      </c>
      <c r="H45" s="4">
        <f>D45*150</f>
        <v>0</v>
      </c>
      <c r="I45" s="4">
        <f>D45*150</f>
        <v>0</v>
      </c>
    </row>
    <row r="46" spans="1:9" x14ac:dyDescent="0.3">
      <c r="A46" s="4"/>
      <c r="B46" s="4" t="s">
        <v>61</v>
      </c>
      <c r="C46" s="4"/>
      <c r="D46" s="21"/>
      <c r="E46" s="4"/>
      <c r="F46" s="4">
        <f>D46*130</f>
        <v>0</v>
      </c>
      <c r="G46" s="4">
        <f>D46*150</f>
        <v>0</v>
      </c>
      <c r="H46" s="4">
        <f>D46*150</f>
        <v>0</v>
      </c>
      <c r="I46" s="4">
        <f>D46*150</f>
        <v>0</v>
      </c>
    </row>
    <row r="47" spans="1:9" x14ac:dyDescent="0.3">
      <c r="A47" s="4"/>
      <c r="B47" s="4" t="s">
        <v>62</v>
      </c>
      <c r="C47" s="4"/>
      <c r="D47" s="21"/>
      <c r="E47" s="4"/>
      <c r="F47" s="4">
        <f>D47*130</f>
        <v>0</v>
      </c>
      <c r="G47" s="4">
        <f>D47*150</f>
        <v>0</v>
      </c>
      <c r="H47" s="4">
        <f>D47*150</f>
        <v>0</v>
      </c>
      <c r="I47" s="4">
        <f>D47*150</f>
        <v>0</v>
      </c>
    </row>
    <row r="48" spans="1:9" x14ac:dyDescent="0.3">
      <c r="A48" s="4"/>
      <c r="B48" s="4" t="s">
        <v>63</v>
      </c>
      <c r="C48" s="4"/>
      <c r="D48" s="21"/>
      <c r="E48" s="4"/>
      <c r="F48" s="4">
        <f>D48*50</f>
        <v>0</v>
      </c>
      <c r="G48" s="4">
        <f>D48*50</f>
        <v>0</v>
      </c>
      <c r="H48" s="4">
        <f>D48*50</f>
        <v>0</v>
      </c>
      <c r="I48" s="4">
        <f>D48*50</f>
        <v>0</v>
      </c>
    </row>
    <row r="49" spans="1:9" x14ac:dyDescent="0.3">
      <c r="A49" s="4"/>
      <c r="B49" s="4"/>
      <c r="C49" s="4"/>
      <c r="D49" s="4"/>
      <c r="E49" s="4"/>
      <c r="F49" s="4"/>
      <c r="G49" s="4"/>
      <c r="H49" s="4"/>
      <c r="I49" s="4"/>
    </row>
    <row r="50" spans="1:9" x14ac:dyDescent="0.3">
      <c r="A50" s="4"/>
      <c r="B50" s="4" t="s">
        <v>10</v>
      </c>
      <c r="C50" s="4"/>
      <c r="D50" s="21"/>
      <c r="E50" s="4"/>
      <c r="F50" s="4">
        <f>D50*40</f>
        <v>0</v>
      </c>
      <c r="G50" s="4">
        <f>D50*40</f>
        <v>0</v>
      </c>
      <c r="H50" s="4">
        <f>D50*40</f>
        <v>0</v>
      </c>
      <c r="I50" s="4">
        <f>D50*40</f>
        <v>0</v>
      </c>
    </row>
    <row r="51" spans="1:9" x14ac:dyDescent="0.3">
      <c r="A51" s="4"/>
      <c r="B51" s="4"/>
      <c r="C51" s="4"/>
      <c r="D51" s="4"/>
      <c r="E51" s="4"/>
      <c r="F51" s="4"/>
      <c r="G51" s="4"/>
      <c r="H51" s="4"/>
      <c r="I51" s="4"/>
    </row>
    <row r="52" spans="1:9" x14ac:dyDescent="0.3">
      <c r="A52" s="1"/>
      <c r="B52" s="1"/>
      <c r="C52" s="1"/>
      <c r="D52" s="1"/>
      <c r="E52" s="1"/>
      <c r="F52" s="1"/>
      <c r="G52" s="1"/>
      <c r="H52" s="1"/>
      <c r="I52" s="1"/>
    </row>
    <row r="53" spans="1:9" ht="15.6" x14ac:dyDescent="0.3">
      <c r="A53" s="9"/>
      <c r="B53" s="9" t="s">
        <v>194</v>
      </c>
      <c r="C53" s="9"/>
      <c r="D53" s="9"/>
      <c r="E53" s="9"/>
      <c r="F53" s="82">
        <f>F17+F19+F20+F22</f>
        <v>0</v>
      </c>
      <c r="G53" s="82">
        <f>G17+G19+G20+G22</f>
        <v>0</v>
      </c>
      <c r="H53" s="82">
        <f>H17+H19+H20+H22</f>
        <v>0</v>
      </c>
      <c r="I53" s="82">
        <f>I17+I19+I20+I22</f>
        <v>0</v>
      </c>
    </row>
    <row r="54" spans="1:9" ht="15.6" x14ac:dyDescent="0.3">
      <c r="A54" s="9"/>
      <c r="B54" s="9" t="s">
        <v>195</v>
      </c>
      <c r="C54" s="9"/>
      <c r="D54" s="9"/>
      <c r="E54" s="9"/>
      <c r="F54" s="82">
        <f>F24+F25</f>
        <v>0</v>
      </c>
      <c r="G54" s="82">
        <f>G24+G25</f>
        <v>0</v>
      </c>
      <c r="H54" s="82">
        <f>H24+H25</f>
        <v>0</v>
      </c>
      <c r="I54" s="82">
        <f>I24+I25</f>
        <v>0</v>
      </c>
    </row>
    <row r="55" spans="1:9" ht="15.6" x14ac:dyDescent="0.3">
      <c r="A55" s="9"/>
      <c r="B55" s="9" t="s">
        <v>191</v>
      </c>
      <c r="C55" s="9"/>
      <c r="D55" s="9"/>
      <c r="E55" s="9"/>
      <c r="F55" s="82">
        <f>(F27+F28+F29+F30+F32+F34+F35+F36+F38+F40+F42+F43+F45+F46+F47+F48+F50)*1.3</f>
        <v>0</v>
      </c>
      <c r="G55" s="82">
        <f>G27+G28+G29+G30+G32+G34+G35+G36+G38+G40+G42+G43+G45+G46+G47+G48+G50</f>
        <v>0</v>
      </c>
      <c r="H55" s="82">
        <f>H27+H28+H29+H30+H32+H34+H35+H36+H38+H40+H42+H43+H45+H46+H47+H48+H50</f>
        <v>0</v>
      </c>
      <c r="I55" s="82">
        <f>I27+I28+I29+I30+I32+I34+I35+I36+I38+I40+I42+I43+I45+I46+I47+I48+I50</f>
        <v>0</v>
      </c>
    </row>
    <row r="56" spans="1:9" ht="15.6" x14ac:dyDescent="0.3">
      <c r="A56" s="9"/>
      <c r="B56" s="9"/>
      <c r="C56" s="9"/>
      <c r="D56" s="9"/>
      <c r="E56" s="9"/>
      <c r="F56" s="9"/>
      <c r="G56" s="9"/>
      <c r="H56" s="9"/>
      <c r="I56" s="9"/>
    </row>
    <row r="57" spans="1:9" ht="15.6" x14ac:dyDescent="0.3">
      <c r="A57" s="9"/>
      <c r="B57" s="9" t="s">
        <v>9</v>
      </c>
      <c r="C57" s="9"/>
      <c r="D57" s="9"/>
      <c r="E57" s="9"/>
      <c r="F57" s="9">
        <f>F53+F54+F55</f>
        <v>0</v>
      </c>
      <c r="G57" s="9">
        <f>G53+G54+G55</f>
        <v>0</v>
      </c>
      <c r="H57" s="9">
        <f>H53+H54+H55</f>
        <v>0</v>
      </c>
      <c r="I57" s="9">
        <f>I53+I54+I55</f>
        <v>0</v>
      </c>
    </row>
    <row r="59" spans="1:9" x14ac:dyDescent="0.3">
      <c r="A59" t="s">
        <v>193</v>
      </c>
    </row>
    <row r="61" spans="1:9" x14ac:dyDescent="0.3">
      <c r="A61" t="s">
        <v>185</v>
      </c>
    </row>
    <row r="62" spans="1:9" x14ac:dyDescent="0.3">
      <c r="A62" t="s">
        <v>186</v>
      </c>
    </row>
    <row r="63" spans="1:9" x14ac:dyDescent="0.3">
      <c r="A63" t="s">
        <v>147</v>
      </c>
    </row>
    <row r="64" spans="1:9" x14ac:dyDescent="0.3">
      <c r="A64" t="s">
        <v>148</v>
      </c>
    </row>
    <row r="66" spans="1:1" x14ac:dyDescent="0.3">
      <c r="A66" t="s">
        <v>196</v>
      </c>
    </row>
  </sheetData>
  <sheetProtection algorithmName="SHA-512" hashValue="zos5uaKVUF7U3kNjedJK5kRQ8ZL9oeWVgTfdfML4tQ0dSDukeRfK9OdT9S1p4fzDVCWiJr60PDWXlwSmukNiCw==" saltValue="B86vcy8fEpZcag+Inp8oVg==" spinCount="100000" sheet="1" selectLockedCells="1"/>
  <dataValidations count="1">
    <dataValidation type="list" allowBlank="1" showInputMessage="1" showErrorMessage="1" sqref="D12 D38 D42">
      <formula1>"ja, nein"</formula1>
    </dataValidation>
  </dataValidations>
  <pageMargins left="0.7" right="0.7" top="0.78740157499999996" bottom="0.78740157499999996"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55"/>
  <sheetViews>
    <sheetView zoomScale="90" zoomScaleNormal="90" workbookViewId="0">
      <selection activeCell="D5" sqref="D5"/>
    </sheetView>
  </sheetViews>
  <sheetFormatPr baseColWidth="10" defaultRowHeight="14.4" x14ac:dyDescent="0.3"/>
  <cols>
    <col min="2" max="2" width="18.88671875" customWidth="1"/>
    <col min="3" max="3" width="27" customWidth="1"/>
    <col min="4" max="4" width="13.5546875" customWidth="1"/>
    <col min="5" max="5" width="15.44140625" customWidth="1"/>
    <col min="6" max="6" width="12.109375" customWidth="1"/>
  </cols>
  <sheetData>
    <row r="1" spans="1:5" ht="21" x14ac:dyDescent="0.4">
      <c r="A1" s="7" t="s">
        <v>149</v>
      </c>
    </row>
    <row r="3" spans="1:5" x14ac:dyDescent="0.3">
      <c r="B3" t="s">
        <v>144</v>
      </c>
      <c r="C3" s="52">
        <f>'1. Säule'!C3</f>
        <v>0</v>
      </c>
    </row>
    <row r="4" spans="1:5" ht="15" thickBot="1" x14ac:dyDescent="0.35"/>
    <row r="5" spans="1:5" x14ac:dyDescent="0.3">
      <c r="B5" s="24" t="s">
        <v>71</v>
      </c>
      <c r="C5" s="25"/>
      <c r="D5" s="34" t="s">
        <v>189</v>
      </c>
      <c r="E5" s="26"/>
    </row>
    <row r="6" spans="1:5" x14ac:dyDescent="0.3">
      <c r="B6" s="27" t="s">
        <v>51</v>
      </c>
      <c r="C6" s="28"/>
      <c r="D6" s="35" t="s">
        <v>27</v>
      </c>
      <c r="E6" s="29"/>
    </row>
    <row r="7" spans="1:5" x14ac:dyDescent="0.3">
      <c r="B7" s="27"/>
      <c r="C7" s="28"/>
      <c r="D7" s="28"/>
      <c r="E7" s="29"/>
    </row>
    <row r="8" spans="1:5" x14ac:dyDescent="0.3">
      <c r="B8" s="27"/>
      <c r="C8" s="28"/>
      <c r="D8" s="28" t="s">
        <v>46</v>
      </c>
      <c r="E8" s="29" t="s">
        <v>47</v>
      </c>
    </row>
    <row r="9" spans="1:5" x14ac:dyDescent="0.3">
      <c r="B9" s="27" t="s">
        <v>38</v>
      </c>
      <c r="C9" s="28" t="s">
        <v>39</v>
      </c>
      <c r="D9" s="28">
        <f>'1. Säule'!D6</f>
        <v>0</v>
      </c>
      <c r="E9" s="29"/>
    </row>
    <row r="10" spans="1:5" x14ac:dyDescent="0.3">
      <c r="B10" s="27"/>
      <c r="C10" s="28" t="s">
        <v>32</v>
      </c>
      <c r="D10" s="35"/>
      <c r="E10" s="29">
        <f>IF(D5="konventionell", 0, IF(D5="Einführer", 423, 280))</f>
        <v>0</v>
      </c>
    </row>
    <row r="11" spans="1:5" x14ac:dyDescent="0.3">
      <c r="B11" s="27"/>
      <c r="C11" s="28" t="s">
        <v>37</v>
      </c>
      <c r="D11" s="35"/>
      <c r="E11" s="29">
        <f>IF(D5="konventionell", 0, IF(D5="Einführer", 423, 280))</f>
        <v>0</v>
      </c>
    </row>
    <row r="12" spans="1:5" x14ac:dyDescent="0.3">
      <c r="B12" s="27"/>
      <c r="C12" s="28" t="s">
        <v>33</v>
      </c>
      <c r="D12" s="35"/>
      <c r="E12" s="29">
        <f>IF(D5="konventionell", 0, IF(D5="Einführer", 485, 485))</f>
        <v>0</v>
      </c>
    </row>
    <row r="13" spans="1:5" x14ac:dyDescent="0.3">
      <c r="B13" s="27"/>
      <c r="C13" s="28" t="s">
        <v>34</v>
      </c>
      <c r="D13" s="35"/>
      <c r="E13" s="29">
        <f>IF(D5="konventionell", 0, IF(D5="Einführer", 423, 280))</f>
        <v>0</v>
      </c>
    </row>
    <row r="14" spans="1:5" x14ac:dyDescent="0.3">
      <c r="B14" s="27"/>
      <c r="C14" s="28" t="s">
        <v>179</v>
      </c>
      <c r="D14" s="43">
        <f>'1. Säule'!D27+'1. Säule'!D30</f>
        <v>0</v>
      </c>
      <c r="E14" s="29">
        <v>0</v>
      </c>
    </row>
    <row r="15" spans="1:5" x14ac:dyDescent="0.3">
      <c r="B15" s="27"/>
      <c r="C15" s="46" t="s">
        <v>180</v>
      </c>
      <c r="D15" s="43">
        <f>'Vertragsnaturschutz 2'!C16</f>
        <v>0</v>
      </c>
      <c r="E15" s="29">
        <v>0</v>
      </c>
    </row>
    <row r="16" spans="1:5" x14ac:dyDescent="0.3">
      <c r="B16" s="27"/>
      <c r="C16" s="46" t="s">
        <v>69</v>
      </c>
      <c r="D16" s="43">
        <f>'Vertragsnaturschutz 2'!C17+'Vertragsnaturschutz 2'!C18+'Vertragsnaturschutz 2'!C19</f>
        <v>0</v>
      </c>
      <c r="E16" s="29">
        <v>0</v>
      </c>
    </row>
    <row r="17" spans="1:9" x14ac:dyDescent="0.3">
      <c r="B17" s="27"/>
      <c r="C17" s="46" t="s">
        <v>183</v>
      </c>
      <c r="D17" s="35"/>
      <c r="E17" s="29">
        <v>0</v>
      </c>
    </row>
    <row r="18" spans="1:9" x14ac:dyDescent="0.3">
      <c r="B18" s="27"/>
      <c r="C18" s="28" t="s">
        <v>175</v>
      </c>
      <c r="D18" s="28">
        <f>D9-D10-D11-D12-D13-D14-D15-D16-D17</f>
        <v>0</v>
      </c>
      <c r="E18" s="29"/>
    </row>
    <row r="19" spans="1:9" x14ac:dyDescent="0.3">
      <c r="B19" s="27"/>
      <c r="C19" s="28"/>
      <c r="D19" s="28"/>
      <c r="E19" s="29"/>
    </row>
    <row r="20" spans="1:9" x14ac:dyDescent="0.3">
      <c r="B20" s="27"/>
      <c r="C20" s="28" t="s">
        <v>176</v>
      </c>
      <c r="D20" s="28">
        <f>'1. Säule'!D7</f>
        <v>0</v>
      </c>
      <c r="E20" s="29"/>
    </row>
    <row r="21" spans="1:9" x14ac:dyDescent="0.3">
      <c r="B21" s="27" t="s">
        <v>45</v>
      </c>
      <c r="C21" s="28"/>
      <c r="D21" s="35"/>
      <c r="E21" s="29">
        <f>IF(D5="konventionell", 0, IF(D5="Einführer", 473, 260))</f>
        <v>0</v>
      </c>
    </row>
    <row r="22" spans="1:9" x14ac:dyDescent="0.3">
      <c r="B22" s="27" t="s">
        <v>44</v>
      </c>
      <c r="C22" s="28"/>
      <c r="D22" s="35"/>
      <c r="E22" s="29">
        <f>IF(D5="konventionell", 0, IF(D5="Einführer", 413, 200))</f>
        <v>0</v>
      </c>
    </row>
    <row r="23" spans="1:9" x14ac:dyDescent="0.3">
      <c r="B23" s="27"/>
      <c r="C23" s="28" t="s">
        <v>175</v>
      </c>
      <c r="D23" s="28">
        <f>D20-D21-D22</f>
        <v>0</v>
      </c>
      <c r="E23" s="29"/>
    </row>
    <row r="24" spans="1:9" x14ac:dyDescent="0.3">
      <c r="B24" s="27"/>
      <c r="C24" s="28"/>
      <c r="D24" s="28"/>
      <c r="E24" s="29"/>
    </row>
    <row r="25" spans="1:9" x14ac:dyDescent="0.3">
      <c r="B25" s="27"/>
      <c r="C25" s="28" t="s">
        <v>58</v>
      </c>
      <c r="D25" s="28">
        <f>'1. Säule'!D9</f>
        <v>0</v>
      </c>
      <c r="E25" s="29"/>
    </row>
    <row r="26" spans="1:9" x14ac:dyDescent="0.3">
      <c r="B26" s="27" t="s">
        <v>60</v>
      </c>
      <c r="C26" s="28"/>
      <c r="D26" s="35"/>
      <c r="E26" s="29">
        <f>IF(D5="konventionell", 0, IF(D5="Einführer", 1546, 987))</f>
        <v>0</v>
      </c>
    </row>
    <row r="27" spans="1:9" x14ac:dyDescent="0.3">
      <c r="B27" s="27" t="s">
        <v>59</v>
      </c>
      <c r="C27" s="28"/>
      <c r="D27" s="45">
        <f>'1. Säule'!D32</f>
        <v>0</v>
      </c>
      <c r="E27" s="29">
        <f>IF(D5="konventionell", 0, IF(D5="Einführer", 1546, 987))</f>
        <v>0</v>
      </c>
    </row>
    <row r="28" spans="1:9" ht="15" thickBot="1" x14ac:dyDescent="0.35">
      <c r="B28" s="30"/>
      <c r="C28" s="31" t="s">
        <v>175</v>
      </c>
      <c r="D28" s="44">
        <f>D25-D26-D27</f>
        <v>0</v>
      </c>
      <c r="E28" s="32"/>
    </row>
    <row r="30" spans="1:9" x14ac:dyDescent="0.3">
      <c r="A30" s="33"/>
      <c r="B30" s="33"/>
      <c r="C30" s="33"/>
      <c r="D30" s="33" t="s">
        <v>42</v>
      </c>
      <c r="E30" s="33" t="s">
        <v>52</v>
      </c>
      <c r="F30" s="33">
        <v>2023</v>
      </c>
      <c r="G30" s="33">
        <v>2024</v>
      </c>
      <c r="H30" s="33">
        <v>2025</v>
      </c>
      <c r="I30" s="33">
        <v>2026</v>
      </c>
    </row>
    <row r="31" spans="1:9" x14ac:dyDescent="0.3">
      <c r="A31" s="33"/>
      <c r="B31" s="33" t="s">
        <v>40</v>
      </c>
      <c r="C31" s="33" t="s">
        <v>32</v>
      </c>
      <c r="D31" s="33">
        <f>D10*E10</f>
        <v>0</v>
      </c>
      <c r="E31" s="33">
        <f>IF(D6="nein", D10*0.96, D10)</f>
        <v>0</v>
      </c>
      <c r="F31" s="33">
        <f>IF(D5="konventionell",0,E31*(E10-130))</f>
        <v>0</v>
      </c>
      <c r="G31" s="33">
        <f>IF(D5="konventionell", 0, E31*(E10-150))</f>
        <v>0</v>
      </c>
      <c r="H31" s="33">
        <f>IF(D5="konventionell", 0, E31*(E10-150))</f>
        <v>0</v>
      </c>
      <c r="I31" s="33">
        <f>IF(D5="konventionell", 0, E31*(E10-150))</f>
        <v>0</v>
      </c>
    </row>
    <row r="32" spans="1:9" x14ac:dyDescent="0.3">
      <c r="A32" s="33"/>
      <c r="B32" s="33"/>
      <c r="C32" s="33" t="s">
        <v>37</v>
      </c>
      <c r="D32" s="33">
        <f>D11*E11</f>
        <v>0</v>
      </c>
      <c r="E32" s="33">
        <f>IF(D6="nein", D11*0.96, D11)</f>
        <v>0</v>
      </c>
      <c r="F32" s="33">
        <f>E32*E11</f>
        <v>0</v>
      </c>
      <c r="G32" s="33">
        <f>E32*E11</f>
        <v>0</v>
      </c>
      <c r="H32" s="33">
        <f>E32*E11</f>
        <v>0</v>
      </c>
      <c r="I32" s="33">
        <f>E32*E11</f>
        <v>0</v>
      </c>
    </row>
    <row r="33" spans="1:9" x14ac:dyDescent="0.3">
      <c r="A33" s="33"/>
      <c r="B33" s="33"/>
      <c r="C33" s="33" t="s">
        <v>34</v>
      </c>
      <c r="D33" s="33">
        <f>D13*E13</f>
        <v>0</v>
      </c>
      <c r="E33" s="33">
        <f>IF(D6="nein", D13*0.96, D13)</f>
        <v>0</v>
      </c>
      <c r="F33" s="33">
        <f>IF(D5="konventionell", 0, E33*(E13-50))</f>
        <v>0</v>
      </c>
      <c r="G33" s="33">
        <f>IF(D5="konventionell", 0, E33*(E13-50))</f>
        <v>0</v>
      </c>
      <c r="H33" s="33">
        <f>IF(D5="konventionell", 0, E33*(E13-50))</f>
        <v>0</v>
      </c>
      <c r="I33" s="33">
        <f>IF(D5="konventionell", 0, E33*(E13-50))</f>
        <v>0</v>
      </c>
    </row>
    <row r="34" spans="1:9" x14ac:dyDescent="0.3">
      <c r="A34" s="33"/>
      <c r="B34" s="33"/>
      <c r="C34" s="33" t="s">
        <v>35</v>
      </c>
      <c r="D34" s="33">
        <f>D21*E21</f>
        <v>0</v>
      </c>
      <c r="E34" s="33">
        <f>D21</f>
        <v>0</v>
      </c>
      <c r="F34" s="33">
        <f>IF(D5="konventionell",0,IF('1. Säule'!D42="ja", E34*(E21-50), E34*E21))</f>
        <v>0</v>
      </c>
      <c r="G34" s="33">
        <f>IF(D5="konventionell",0,IF('1. Säule'!D42="ja", E34*(E21-50), E34*E21))</f>
        <v>0</v>
      </c>
      <c r="H34" s="33">
        <f>IF(D5="konventionell",0,IF('1. Säule'!D42="ja", E34*(E21-50), E34*E21))</f>
        <v>0</v>
      </c>
      <c r="I34" s="33">
        <f>IF(D5="konventionell",0,IF('1. Säule'!D42="ja", E34*(E21-50), E34*E21))</f>
        <v>0</v>
      </c>
    </row>
    <row r="35" spans="1:9" x14ac:dyDescent="0.3">
      <c r="A35" s="33"/>
      <c r="B35" s="33"/>
      <c r="C35" s="33" t="s">
        <v>49</v>
      </c>
      <c r="D35" s="33">
        <f>D22*E22</f>
        <v>0</v>
      </c>
      <c r="E35" s="33">
        <f>D22</f>
        <v>0</v>
      </c>
      <c r="F35" s="33">
        <f>IF(D5="konventionell",0,IF('1. Säule'!D42="ja", E35*(E22-50), E35*E22))</f>
        <v>0</v>
      </c>
      <c r="G35" s="33">
        <f>IF(D5="konventionell",0,IF('1. Säule'!D42="ja", E35*(E22-50), E35*E22))</f>
        <v>0</v>
      </c>
      <c r="H35" s="33">
        <f>IF(D5="konventionell",0,IF('1. Säule'!D42="ja", E35*(E22-50), E35*E22))</f>
        <v>0</v>
      </c>
      <c r="I35" s="33">
        <f>IF(D5="konventionell",0,IF('1. Säule'!D42="ja", E35*(E22-50), E35*E22))</f>
        <v>0</v>
      </c>
    </row>
    <row r="36" spans="1:9" x14ac:dyDescent="0.3">
      <c r="A36" s="33"/>
      <c r="B36" s="33"/>
      <c r="C36" s="33"/>
      <c r="D36" s="33"/>
      <c r="E36" s="33"/>
      <c r="F36" s="33"/>
      <c r="G36" s="33"/>
      <c r="H36" s="33"/>
      <c r="I36" s="33"/>
    </row>
    <row r="37" spans="1:9" x14ac:dyDescent="0.3">
      <c r="A37" s="33"/>
      <c r="B37" s="33"/>
      <c r="C37" s="33" t="s">
        <v>41</v>
      </c>
      <c r="D37" s="33">
        <f>D12*E12</f>
        <v>0</v>
      </c>
      <c r="E37" s="33">
        <f>IF(D6="nein", D12*0.96, D12)</f>
        <v>0</v>
      </c>
      <c r="F37" s="33">
        <f>IF(D5="konventionell", 0, E37*(E12-130))</f>
        <v>0</v>
      </c>
      <c r="G37" s="33">
        <f>IF(D5="konventionell", 0, E37*(E12-150))</f>
        <v>0</v>
      </c>
      <c r="H37" s="33">
        <f>IF(D5="konventionell", 0, E37*(E12-150))</f>
        <v>0</v>
      </c>
      <c r="I37" s="33">
        <f>IF(D5="konventionell", 0, E37*(E12-150))</f>
        <v>0</v>
      </c>
    </row>
    <row r="38" spans="1:9" x14ac:dyDescent="0.3">
      <c r="A38" s="33"/>
      <c r="B38" s="33"/>
      <c r="C38" s="33"/>
      <c r="D38" s="33"/>
      <c r="E38" s="33"/>
      <c r="F38" s="33"/>
      <c r="G38" s="33"/>
      <c r="H38" s="33"/>
      <c r="I38" s="33"/>
    </row>
    <row r="39" spans="1:9" x14ac:dyDescent="0.3">
      <c r="A39" s="33"/>
      <c r="B39" s="33"/>
      <c r="C39" s="33" t="s">
        <v>36</v>
      </c>
      <c r="D39" s="33">
        <f>D26*E26</f>
        <v>0</v>
      </c>
      <c r="E39" s="33">
        <f>D26</f>
        <v>0</v>
      </c>
      <c r="F39" s="33">
        <f>IF(D5="konventionell", 0, E39*(E26-130))</f>
        <v>0</v>
      </c>
      <c r="G39" s="33">
        <f>IF(D5="konventionell", 0, E39*(E26-150))</f>
        <v>0</v>
      </c>
      <c r="H39" s="33">
        <f>IF(D5="konventionell", 0, E39*(E26-150))</f>
        <v>0</v>
      </c>
      <c r="I39" s="33">
        <f>IF(D5="konventionell", 0, E39*(E26-150))</f>
        <v>0</v>
      </c>
    </row>
    <row r="40" spans="1:9" x14ac:dyDescent="0.3">
      <c r="A40" s="33"/>
      <c r="B40" s="33"/>
      <c r="C40" s="33" t="s">
        <v>50</v>
      </c>
      <c r="D40" s="33">
        <f>D27*E27</f>
        <v>0</v>
      </c>
      <c r="E40" s="33">
        <f>D27</f>
        <v>0</v>
      </c>
      <c r="F40" s="33">
        <f>E40*E27</f>
        <v>0</v>
      </c>
      <c r="G40" s="33">
        <f>E40*E27</f>
        <v>0</v>
      </c>
      <c r="H40" s="33">
        <f>E40*E27</f>
        <v>0</v>
      </c>
      <c r="I40" s="33">
        <f>E40*E27</f>
        <v>0</v>
      </c>
    </row>
    <row r="41" spans="1:9" x14ac:dyDescent="0.3">
      <c r="A41" s="33"/>
      <c r="B41" s="33"/>
      <c r="C41" s="33"/>
      <c r="D41" s="33"/>
      <c r="E41" s="33"/>
      <c r="F41" s="33"/>
      <c r="G41" s="33"/>
      <c r="H41" s="33"/>
      <c r="I41" s="33"/>
    </row>
    <row r="42" spans="1:9" x14ac:dyDescent="0.3">
      <c r="A42" s="33"/>
      <c r="B42" s="33"/>
      <c r="C42" s="33" t="s">
        <v>72</v>
      </c>
      <c r="D42" s="33">
        <f>IF(D5="konventionell", 0, (IF((E31+E32+E33+E34+E35+E37+E39+E40)&gt;15, 600, (E31+E32+E33+E34+E35+E37+E39+E40)*40)))</f>
        <v>0</v>
      </c>
      <c r="E42" s="33"/>
      <c r="F42" s="33">
        <f>IF(D5="konventionell", 0, (IF((E31+E32+E33+E34+E35+E37+E39+E40)&gt;15, 600, (E31+E32+E33+E34+E35+E37+E39+E40)*40)))</f>
        <v>0</v>
      </c>
      <c r="G42" s="33">
        <f>IF(D5="konventionell", 0, (IF((E31+E32+E33+E34+E35+E37+E39+E40)&gt;15, 600, (E31+E32+E33+E34+E35+E37+E39+E40)*40)))</f>
        <v>0</v>
      </c>
      <c r="H42" s="33">
        <f>IF(D5="konventionell", 0, (IF((E31+E32+E33+E34+E35+E37+E39+E40)&gt;15, 600, (E31+E32+E33+E34+E35+E37+E39+E40)*40)))</f>
        <v>0</v>
      </c>
      <c r="I42" s="33">
        <f>IF(D5="konventionell", 0, (IF((E31+E32+E33+E34+E35+E37+E39+E40)&gt;15, 600, (E31+E32+E33+E34+E35+E37+E39+E40)*40)))</f>
        <v>0</v>
      </c>
    </row>
    <row r="43" spans="1:9" x14ac:dyDescent="0.3">
      <c r="A43" s="33"/>
      <c r="B43" s="33"/>
      <c r="C43" s="33"/>
      <c r="D43" s="33"/>
      <c r="E43" s="33"/>
      <c r="F43" s="33"/>
      <c r="G43" s="33"/>
      <c r="H43" s="33"/>
      <c r="I43" s="33"/>
    </row>
    <row r="44" spans="1:9" s="37" customFormat="1" ht="15.6" x14ac:dyDescent="0.3">
      <c r="A44" s="36"/>
      <c r="B44" s="36" t="s">
        <v>43</v>
      </c>
      <c r="C44" s="36"/>
      <c r="D44" s="36"/>
      <c r="E44" s="36"/>
      <c r="F44" s="36">
        <f>F31+F32+F33+F34+F35+F37+F39+F40+F42</f>
        <v>0</v>
      </c>
      <c r="G44" s="36">
        <f>G31+G32+G33+G34+G35+G37+G39+G40+G42</f>
        <v>0</v>
      </c>
      <c r="H44" s="36">
        <f>H31+H32+H33+H34+H35+H37+H39+H40+H42</f>
        <v>0</v>
      </c>
      <c r="I44" s="36">
        <f>I31+I32+I33+I34+I35+I37+I39+I40+I42</f>
        <v>0</v>
      </c>
    </row>
    <row r="46" spans="1:9" x14ac:dyDescent="0.3">
      <c r="A46" t="s">
        <v>48</v>
      </c>
    </row>
    <row r="47" spans="1:9" x14ac:dyDescent="0.3">
      <c r="A47" t="s">
        <v>177</v>
      </c>
    </row>
    <row r="48" spans="1:9" x14ac:dyDescent="0.3">
      <c r="A48" t="s">
        <v>178</v>
      </c>
    </row>
    <row r="50" spans="1:1" x14ac:dyDescent="0.3">
      <c r="A50" t="s">
        <v>185</v>
      </c>
    </row>
    <row r="51" spans="1:1" x14ac:dyDescent="0.3">
      <c r="A51" t="s">
        <v>186</v>
      </c>
    </row>
    <row r="52" spans="1:1" x14ac:dyDescent="0.3">
      <c r="A52" t="s">
        <v>147</v>
      </c>
    </row>
    <row r="53" spans="1:1" x14ac:dyDescent="0.3">
      <c r="A53" t="s">
        <v>148</v>
      </c>
    </row>
    <row r="55" spans="1:1" x14ac:dyDescent="0.3">
      <c r="A55" t="s">
        <v>196</v>
      </c>
    </row>
  </sheetData>
  <sheetProtection algorithmName="SHA-512" hashValue="s+g9icsRohwAdqGZmyNo7Uz+HsdHcDQkYoIRq3/UWk3t04m1yDup9Fx8RyH1qQ/rZnUmc2T7NMEjmFARB/jVpw==" saltValue="spPfGBNaZqv9p/RQSXBckw==" spinCount="100000" sheet="1" objects="1" scenarios="1" selectLockedCells="1"/>
  <dataValidations count="3">
    <dataValidation type="list" allowBlank="1" showInputMessage="1" showErrorMessage="1" sqref="D7">
      <formula1>"Einführer, Beibehalter"</formula1>
    </dataValidation>
    <dataValidation type="list" allowBlank="1" showInputMessage="1" showErrorMessage="1" sqref="K6 D6">
      <formula1>"ja, nein"</formula1>
    </dataValidation>
    <dataValidation type="list" allowBlank="1" showInputMessage="1" showErrorMessage="1" sqref="D5">
      <formula1>"konventionell, Einführer, Beibehalter"</formula1>
    </dataValidation>
  </dataValidations>
  <pageMargins left="0.7" right="0.7" top="0.78740157499999996" bottom="0.78740157499999996"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38"/>
  <sheetViews>
    <sheetView topLeftCell="A6" workbookViewId="0">
      <selection activeCell="D6" sqref="D6"/>
    </sheetView>
  </sheetViews>
  <sheetFormatPr baseColWidth="10" defaultRowHeight="14.4" x14ac:dyDescent="0.3"/>
  <cols>
    <col min="3" max="3" width="15.5546875" customWidth="1"/>
    <col min="5" max="5" width="14.109375" customWidth="1"/>
  </cols>
  <sheetData>
    <row r="1" spans="1:9" ht="21" x14ac:dyDescent="0.4">
      <c r="A1" s="7" t="s">
        <v>149</v>
      </c>
    </row>
    <row r="3" spans="1:9" x14ac:dyDescent="0.3">
      <c r="B3" t="s">
        <v>144</v>
      </c>
      <c r="C3">
        <f>'1. Säule'!C3</f>
        <v>0</v>
      </c>
    </row>
    <row r="4" spans="1:9" ht="15" thickBot="1" x14ac:dyDescent="0.35"/>
    <row r="5" spans="1:9" x14ac:dyDescent="0.3">
      <c r="B5" s="24" t="s">
        <v>133</v>
      </c>
      <c r="C5" s="25"/>
      <c r="D5" s="25"/>
      <c r="E5" s="26" t="s">
        <v>47</v>
      </c>
    </row>
    <row r="6" spans="1:9" x14ac:dyDescent="0.3">
      <c r="B6" s="27" t="s">
        <v>134</v>
      </c>
      <c r="C6" s="28" t="s">
        <v>138</v>
      </c>
      <c r="D6" s="35"/>
      <c r="E6" s="29">
        <v>90</v>
      </c>
    </row>
    <row r="7" spans="1:9" x14ac:dyDescent="0.3">
      <c r="B7" s="27"/>
      <c r="C7" s="28" t="s">
        <v>139</v>
      </c>
      <c r="D7" s="35"/>
      <c r="E7" s="29">
        <v>170</v>
      </c>
    </row>
    <row r="8" spans="1:9" x14ac:dyDescent="0.3">
      <c r="B8" s="27"/>
      <c r="C8" s="28"/>
      <c r="D8" s="28"/>
      <c r="E8" s="29"/>
    </row>
    <row r="9" spans="1:9" x14ac:dyDescent="0.3">
      <c r="B9" s="27" t="s">
        <v>135</v>
      </c>
      <c r="C9" s="28"/>
      <c r="D9" s="28"/>
      <c r="E9" s="29"/>
    </row>
    <row r="10" spans="1:9" x14ac:dyDescent="0.3">
      <c r="B10" s="27" t="s">
        <v>137</v>
      </c>
      <c r="C10" s="28" t="s">
        <v>136</v>
      </c>
      <c r="D10" s="35"/>
      <c r="E10" s="29">
        <v>160</v>
      </c>
    </row>
    <row r="11" spans="1:9" ht="15" thickBot="1" x14ac:dyDescent="0.35">
      <c r="B11" s="30"/>
      <c r="C11" s="31" t="s">
        <v>6</v>
      </c>
      <c r="D11" s="48"/>
      <c r="E11" s="32">
        <v>60</v>
      </c>
    </row>
    <row r="14" spans="1:9" x14ac:dyDescent="0.3">
      <c r="B14" t="s">
        <v>28</v>
      </c>
      <c r="F14">
        <v>2023</v>
      </c>
      <c r="G14">
        <v>2024</v>
      </c>
      <c r="H14">
        <v>2025</v>
      </c>
      <c r="I14">
        <v>2026</v>
      </c>
    </row>
    <row r="16" spans="1:9" ht="15.6" x14ac:dyDescent="0.3">
      <c r="A16" s="9"/>
      <c r="B16" s="9" t="s">
        <v>22</v>
      </c>
      <c r="C16" s="9"/>
      <c r="D16" s="9"/>
      <c r="E16" s="9"/>
      <c r="F16" s="9">
        <f>'1. Säule'!F53</f>
        <v>0</v>
      </c>
      <c r="G16" s="9">
        <f>'1. Säule'!G53</f>
        <v>0</v>
      </c>
      <c r="H16" s="9">
        <f>'1. Säule'!H53</f>
        <v>0</v>
      </c>
      <c r="I16" s="9">
        <f>'1. Säule'!I53</f>
        <v>0</v>
      </c>
    </row>
    <row r="17" spans="1:9" ht="15.6" x14ac:dyDescent="0.3">
      <c r="A17" s="9"/>
      <c r="B17" s="9" t="s">
        <v>23</v>
      </c>
      <c r="C17" s="9"/>
      <c r="D17" s="9"/>
      <c r="E17" s="9"/>
      <c r="F17" s="9">
        <f>'1. Säule'!F54</f>
        <v>0</v>
      </c>
      <c r="G17" s="9">
        <f>'1. Säule'!G54</f>
        <v>0</v>
      </c>
      <c r="H17" s="9">
        <f>'1. Säule'!H54</f>
        <v>0</v>
      </c>
      <c r="I17" s="9">
        <f>'1. Säule'!I54</f>
        <v>0</v>
      </c>
    </row>
    <row r="18" spans="1:9" ht="15.6" x14ac:dyDescent="0.3">
      <c r="A18" s="9"/>
      <c r="B18" s="9" t="s">
        <v>8</v>
      </c>
      <c r="C18" s="9"/>
      <c r="D18" s="9"/>
      <c r="E18" s="9"/>
      <c r="F18" s="9">
        <f>'1. Säule'!F55</f>
        <v>0</v>
      </c>
      <c r="G18" s="9">
        <f>'1. Säule'!G55</f>
        <v>0</v>
      </c>
      <c r="H18" s="9">
        <f>'1. Säule'!H55</f>
        <v>0</v>
      </c>
      <c r="I18" s="9">
        <f>'1. Säule'!I55</f>
        <v>0</v>
      </c>
    </row>
    <row r="19" spans="1:9" ht="15.6" x14ac:dyDescent="0.3">
      <c r="A19" s="9"/>
      <c r="B19" s="9"/>
      <c r="C19" s="9"/>
      <c r="D19" s="9"/>
      <c r="E19" s="9"/>
      <c r="F19" s="9"/>
      <c r="G19" s="9"/>
      <c r="H19" s="9"/>
      <c r="I19" s="9"/>
    </row>
    <row r="20" spans="1:9" ht="15.6" x14ac:dyDescent="0.3">
      <c r="A20" s="9"/>
      <c r="B20" s="9" t="s">
        <v>146</v>
      </c>
      <c r="C20" s="9"/>
      <c r="D20" s="9"/>
      <c r="E20" s="9"/>
      <c r="F20" s="9">
        <f>F16+F17+F18</f>
        <v>0</v>
      </c>
      <c r="G20" s="9">
        <f>G16+G17+G18</f>
        <v>0</v>
      </c>
      <c r="H20" s="9">
        <f>H16+H17+H18</f>
        <v>0</v>
      </c>
      <c r="I20" s="9">
        <f>I16+I17+I18</f>
        <v>0</v>
      </c>
    </row>
    <row r="21" spans="1:9" ht="15.6" x14ac:dyDescent="0.3">
      <c r="A21" s="9"/>
      <c r="B21" s="9"/>
      <c r="C21" s="9"/>
      <c r="D21" s="9"/>
      <c r="E21" s="9"/>
      <c r="F21" s="9"/>
      <c r="G21" s="9"/>
      <c r="H21" s="9"/>
      <c r="I21" s="9"/>
    </row>
    <row r="22" spans="1:9" ht="15.6" x14ac:dyDescent="0.3">
      <c r="A22" s="9"/>
      <c r="B22" s="9" t="s">
        <v>140</v>
      </c>
      <c r="C22" s="9"/>
      <c r="D22" s="9"/>
      <c r="E22" s="9"/>
      <c r="F22" s="9">
        <f>IF(D6*E6+D7*E7&lt;180, 0, D6*E6+D7*E7)</f>
        <v>0</v>
      </c>
      <c r="G22" s="9">
        <f>IF(D6*E6+D7*E7&lt;180, 0, D6*E6+D7*E7)</f>
        <v>0</v>
      </c>
      <c r="H22" s="9">
        <f>IF(D6*E6+D7*E7&lt;180, 0, D6*E6+D7*E7)</f>
        <v>0</v>
      </c>
      <c r="I22" s="9">
        <f>IF(D6*E6+D7*E7&lt;180, 0, D6*E6+D7*E7)</f>
        <v>0</v>
      </c>
    </row>
    <row r="23" spans="1:9" ht="15.6" x14ac:dyDescent="0.3">
      <c r="A23" s="9"/>
      <c r="B23" s="9" t="s">
        <v>141</v>
      </c>
      <c r="C23" s="9"/>
      <c r="D23" s="9"/>
      <c r="E23" s="9"/>
      <c r="F23" s="9">
        <f>IF(D10+D11&lt;3,0, D10*E10+D11*E11)</f>
        <v>0</v>
      </c>
      <c r="G23" s="9">
        <f>IF(D10+D11&lt;3,0, D10*E10+D11*E11)</f>
        <v>0</v>
      </c>
      <c r="H23" s="9">
        <f>IF(D10+D11&lt;3,0, D10*E10+D11*E11)</f>
        <v>0</v>
      </c>
      <c r="I23" s="9">
        <f>IF(D10+D11&lt;3,0, D10*E10+D11*E11)</f>
        <v>0</v>
      </c>
    </row>
    <row r="24" spans="1:9" ht="15.6" x14ac:dyDescent="0.3">
      <c r="A24" s="9"/>
      <c r="B24" s="9"/>
      <c r="C24" s="9"/>
      <c r="D24" s="9"/>
      <c r="E24" s="9"/>
      <c r="F24" s="9"/>
      <c r="G24" s="9"/>
      <c r="H24" s="9"/>
      <c r="I24" s="9"/>
    </row>
    <row r="25" spans="1:9" s="39" customFormat="1" ht="15.6" x14ac:dyDescent="0.3">
      <c r="A25" s="38"/>
      <c r="B25" s="41" t="s">
        <v>56</v>
      </c>
      <c r="C25" s="38"/>
      <c r="D25" s="38"/>
      <c r="E25" s="38"/>
      <c r="F25" s="38">
        <f>Ökolandbau!D31+Ökolandbau!D32+Ökolandbau!D33+Ökolandbau!D34+Ökolandbau!D35+Ökolandbau!D37+Ökolandbau!D39+Ökolandbau!D40+Ökolandbau!D42</f>
        <v>0</v>
      </c>
      <c r="G25" s="38">
        <f>Ökolandbau!D31+Ökolandbau!D32+Ökolandbau!D33+Ökolandbau!D34+Ökolandbau!D35+Ökolandbau!D37+Ökolandbau!D39+Ökolandbau!D40+Ökolandbau!D42</f>
        <v>0</v>
      </c>
      <c r="H25" s="38">
        <f>Ökolandbau!D31+Ökolandbau!D32+Ökolandbau!D33+Ökolandbau!D34+Ökolandbau!D35+Ökolandbau!D37+Ökolandbau!D39+Ökolandbau!D40+Ökolandbau!D42</f>
        <v>0</v>
      </c>
      <c r="I25" s="38">
        <f>Ökolandbau!D31+Ökolandbau!D32+Ökolandbau!D33+Ökolandbau!D34+Ökolandbau!D35+Ökolandbau!D37+Ökolandbau!D39+Ökolandbau!D40+Ökolandbau!D42</f>
        <v>0</v>
      </c>
    </row>
    <row r="26" spans="1:9" s="37" customFormat="1" ht="15.6" x14ac:dyDescent="0.3">
      <c r="A26" s="36"/>
      <c r="B26" s="36" t="s">
        <v>143</v>
      </c>
      <c r="C26" s="36"/>
      <c r="D26" s="36"/>
      <c r="E26" s="36"/>
      <c r="F26" s="36">
        <f>Ökolandbau!F44</f>
        <v>0</v>
      </c>
      <c r="G26" s="36">
        <f>Ökolandbau!G44</f>
        <v>0</v>
      </c>
      <c r="H26" s="36">
        <f>Ökolandbau!H44</f>
        <v>0</v>
      </c>
      <c r="I26" s="36">
        <f>Ökolandbau!I44</f>
        <v>0</v>
      </c>
    </row>
    <row r="27" spans="1:9" x14ac:dyDescent="0.3">
      <c r="A27" s="33"/>
      <c r="B27" s="33"/>
      <c r="C27" s="33"/>
      <c r="D27" s="33"/>
      <c r="E27" s="33"/>
      <c r="F27" s="33"/>
      <c r="G27" s="33"/>
      <c r="H27" s="33"/>
      <c r="I27" s="33"/>
    </row>
    <row r="28" spans="1:9" s="42" customFormat="1" ht="18" x14ac:dyDescent="0.35">
      <c r="A28" s="40"/>
      <c r="B28" s="40" t="s">
        <v>55</v>
      </c>
      <c r="C28" s="40"/>
      <c r="D28" s="40"/>
      <c r="E28" s="40"/>
      <c r="F28" s="40">
        <f>F20+F22+F23+F26</f>
        <v>0</v>
      </c>
      <c r="G28" s="40">
        <f>G20+G22+G23+G26</f>
        <v>0</v>
      </c>
      <c r="H28" s="40">
        <f>H20+H22+H23+H26</f>
        <v>0</v>
      </c>
      <c r="I28" s="40">
        <f>I20+I22+I23+I26</f>
        <v>0</v>
      </c>
    </row>
    <row r="30" spans="1:9" x14ac:dyDescent="0.3">
      <c r="A30" t="s">
        <v>173</v>
      </c>
    </row>
    <row r="31" spans="1:9" x14ac:dyDescent="0.3">
      <c r="A31" t="s">
        <v>174</v>
      </c>
    </row>
    <row r="33" spans="1:1" x14ac:dyDescent="0.3">
      <c r="A33" t="s">
        <v>185</v>
      </c>
    </row>
    <row r="34" spans="1:1" x14ac:dyDescent="0.3">
      <c r="A34" t="s">
        <v>186</v>
      </c>
    </row>
    <row r="35" spans="1:1" x14ac:dyDescent="0.3">
      <c r="A35" t="s">
        <v>147</v>
      </c>
    </row>
    <row r="36" spans="1:1" x14ac:dyDescent="0.3">
      <c r="A36" t="s">
        <v>148</v>
      </c>
    </row>
    <row r="38" spans="1:1" x14ac:dyDescent="0.3">
      <c r="A38" t="s">
        <v>196</v>
      </c>
    </row>
  </sheetData>
  <sheetProtection algorithmName="SHA-512" hashValue="5Yxrli5AMWMkbCMYHVqZ+1hb/qpyI/GjCT+poGLJomIzAsLLxh4hGXPKdy08oZ1+Q//kbuUbhkMvkOR6oRsDqg==" saltValue="9AO69RMzVbebQtT2BvVrzQ==" spinCount="100000" sheet="1" objects="1" scenarios="1" selectLockedCells="1"/>
  <pageMargins left="0.7" right="0.7" top="0.78740157499999996" bottom="0.78740157499999996"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57"/>
  <sheetViews>
    <sheetView topLeftCell="A16" workbookViewId="0">
      <selection activeCell="C8" sqref="C8"/>
    </sheetView>
  </sheetViews>
  <sheetFormatPr baseColWidth="10" defaultRowHeight="14.4" x14ac:dyDescent="0.3"/>
  <cols>
    <col min="1" max="1" width="19.6640625" customWidth="1"/>
    <col min="2" max="2" width="25.5546875" customWidth="1"/>
    <col min="3" max="3" width="15" customWidth="1"/>
    <col min="4" max="5" width="15.33203125" customWidth="1"/>
  </cols>
  <sheetData>
    <row r="1" spans="1:4" ht="21" x14ac:dyDescent="0.4">
      <c r="A1" s="7" t="s">
        <v>149</v>
      </c>
    </row>
    <row r="2" spans="1:4" x14ac:dyDescent="0.3">
      <c r="A2" s="53"/>
    </row>
    <row r="3" spans="1:4" x14ac:dyDescent="0.3">
      <c r="A3" s="54" t="s">
        <v>144</v>
      </c>
      <c r="B3" s="52">
        <f>'1. Säule'!C3</f>
        <v>0</v>
      </c>
    </row>
    <row r="4" spans="1:4" ht="15" thickBot="1" x14ac:dyDescent="0.35"/>
    <row r="5" spans="1:4" x14ac:dyDescent="0.3">
      <c r="A5" s="24" t="s">
        <v>66</v>
      </c>
      <c r="B5" s="25"/>
      <c r="C5" s="49" t="str">
        <f>IF(Ökolandbau!D5="konventionell", "konventionell", "Bio-Betrieb")</f>
        <v>konventionell</v>
      </c>
      <c r="D5" s="26"/>
    </row>
    <row r="6" spans="1:4" x14ac:dyDescent="0.3">
      <c r="A6" s="27"/>
      <c r="B6" s="28"/>
      <c r="C6" s="28"/>
      <c r="D6" s="29"/>
    </row>
    <row r="7" spans="1:4" x14ac:dyDescent="0.3">
      <c r="A7" s="27"/>
      <c r="B7" s="28"/>
      <c r="C7" s="28" t="s">
        <v>46</v>
      </c>
      <c r="D7" s="29" t="s">
        <v>47</v>
      </c>
    </row>
    <row r="8" spans="1:4" x14ac:dyDescent="0.3">
      <c r="A8" s="27" t="s">
        <v>73</v>
      </c>
      <c r="B8" s="28" t="s">
        <v>75</v>
      </c>
      <c r="C8" s="35"/>
      <c r="D8" s="29">
        <v>170</v>
      </c>
    </row>
    <row r="9" spans="1:4" x14ac:dyDescent="0.3">
      <c r="A9" s="27"/>
      <c r="B9" s="28" t="s">
        <v>76</v>
      </c>
      <c r="C9" s="35"/>
      <c r="D9" s="29">
        <v>190</v>
      </c>
    </row>
    <row r="10" spans="1:4" x14ac:dyDescent="0.3">
      <c r="A10" s="27"/>
      <c r="B10" s="28" t="s">
        <v>79</v>
      </c>
      <c r="C10" s="35"/>
      <c r="D10" s="29">
        <f>C11*40</f>
        <v>0</v>
      </c>
    </row>
    <row r="11" spans="1:4" x14ac:dyDescent="0.3">
      <c r="A11" s="27"/>
      <c r="B11" s="46" t="s">
        <v>80</v>
      </c>
      <c r="C11" s="35"/>
      <c r="D11" s="29"/>
    </row>
    <row r="12" spans="1:4" x14ac:dyDescent="0.3">
      <c r="A12" s="27" t="s">
        <v>95</v>
      </c>
      <c r="B12" s="28" t="s">
        <v>77</v>
      </c>
      <c r="C12" s="35"/>
      <c r="D12" s="29">
        <f>IF(C5="Bio-Betrieb", 230, 470)</f>
        <v>470</v>
      </c>
    </row>
    <row r="13" spans="1:4" x14ac:dyDescent="0.3">
      <c r="A13" s="27"/>
      <c r="B13" s="28" t="s">
        <v>78</v>
      </c>
      <c r="C13" s="35"/>
      <c r="D13" s="29">
        <f>IF(C5="Bio-Betrieb", 250, 490)</f>
        <v>490</v>
      </c>
    </row>
    <row r="14" spans="1:4" x14ac:dyDescent="0.3">
      <c r="A14" s="27"/>
      <c r="B14" s="46" t="s">
        <v>79</v>
      </c>
      <c r="C14" s="35"/>
      <c r="D14" s="29">
        <f>C15*40</f>
        <v>0</v>
      </c>
    </row>
    <row r="15" spans="1:4" x14ac:dyDescent="0.3">
      <c r="A15" s="27"/>
      <c r="B15" s="46" t="s">
        <v>80</v>
      </c>
      <c r="C15" s="35"/>
      <c r="D15" s="29"/>
    </row>
    <row r="16" spans="1:4" x14ac:dyDescent="0.3">
      <c r="A16" s="27"/>
      <c r="B16" s="46" t="s">
        <v>81</v>
      </c>
      <c r="C16" s="35"/>
      <c r="D16" s="29">
        <v>100</v>
      </c>
    </row>
    <row r="17" spans="1:4" x14ac:dyDescent="0.3">
      <c r="A17" s="27" t="s">
        <v>96</v>
      </c>
      <c r="B17" s="46" t="s">
        <v>87</v>
      </c>
      <c r="C17" s="35"/>
      <c r="D17" s="29">
        <f>IF(C5="Bio-Betrieb", 130, 370)</f>
        <v>370</v>
      </c>
    </row>
    <row r="18" spans="1:4" x14ac:dyDescent="0.3">
      <c r="A18" s="27"/>
      <c r="B18" s="46" t="s">
        <v>89</v>
      </c>
      <c r="C18" s="35"/>
      <c r="D18" s="29">
        <f>IF(C5="Bio-Betrieb", 250, 490)</f>
        <v>490</v>
      </c>
    </row>
    <row r="19" spans="1:4" x14ac:dyDescent="0.3">
      <c r="A19" s="27"/>
      <c r="B19" s="46" t="s">
        <v>88</v>
      </c>
      <c r="C19" s="35"/>
      <c r="D19" s="29">
        <f>IF(C5="Bio-Betrieb", 160, 400)</f>
        <v>400</v>
      </c>
    </row>
    <row r="20" spans="1:4" x14ac:dyDescent="0.3">
      <c r="A20" s="27"/>
      <c r="B20" s="46" t="s">
        <v>90</v>
      </c>
      <c r="C20" s="35"/>
      <c r="D20" s="29">
        <f>IF(C5="Bio-Betrieb", 280, 520)</f>
        <v>520</v>
      </c>
    </row>
    <row r="21" spans="1:4" x14ac:dyDescent="0.3">
      <c r="A21" s="27"/>
      <c r="B21" s="46" t="s">
        <v>79</v>
      </c>
      <c r="C21" s="35"/>
      <c r="D21" s="29">
        <f>C22*40</f>
        <v>0</v>
      </c>
    </row>
    <row r="22" spans="1:4" x14ac:dyDescent="0.3">
      <c r="A22" s="27"/>
      <c r="B22" s="46" t="s">
        <v>80</v>
      </c>
      <c r="C22" s="35"/>
      <c r="D22" s="29"/>
    </row>
    <row r="23" spans="1:4" x14ac:dyDescent="0.3">
      <c r="A23" s="27" t="s">
        <v>97</v>
      </c>
      <c r="B23" s="46" t="s">
        <v>87</v>
      </c>
      <c r="C23" s="35"/>
      <c r="D23" s="29">
        <f>IF(C5="Bio-Betrieb", 210, 450)</f>
        <v>450</v>
      </c>
    </row>
    <row r="24" spans="1:4" x14ac:dyDescent="0.3">
      <c r="A24" s="27"/>
      <c r="B24" s="46" t="s">
        <v>89</v>
      </c>
      <c r="C24" s="35"/>
      <c r="D24" s="29">
        <f>IF(C5="Bio-Betrieb", 330, 570)</f>
        <v>570</v>
      </c>
    </row>
    <row r="25" spans="1:4" x14ac:dyDescent="0.3">
      <c r="A25" s="27"/>
      <c r="B25" s="46" t="s">
        <v>88</v>
      </c>
      <c r="C25" s="35"/>
      <c r="D25" s="29">
        <f>IF(C5="Bio-Betrieb", 240, 480)</f>
        <v>480</v>
      </c>
    </row>
    <row r="26" spans="1:4" x14ac:dyDescent="0.3">
      <c r="A26" s="27"/>
      <c r="B26" s="46" t="s">
        <v>90</v>
      </c>
      <c r="C26" s="35"/>
      <c r="D26" s="29">
        <f>IF(C5="Bio-Betrieb", 360, 600)</f>
        <v>600</v>
      </c>
    </row>
    <row r="27" spans="1:4" x14ac:dyDescent="0.3">
      <c r="A27" s="27"/>
      <c r="B27" s="46" t="s">
        <v>81</v>
      </c>
      <c r="C27" s="35"/>
      <c r="D27" s="29">
        <v>100</v>
      </c>
    </row>
    <row r="28" spans="1:4" x14ac:dyDescent="0.3">
      <c r="A28" s="27" t="s">
        <v>84</v>
      </c>
      <c r="B28" s="46" t="s">
        <v>92</v>
      </c>
      <c r="C28" s="35"/>
      <c r="D28" s="29">
        <v>130</v>
      </c>
    </row>
    <row r="29" spans="1:4" x14ac:dyDescent="0.3">
      <c r="A29" s="27"/>
      <c r="B29" s="46" t="s">
        <v>91</v>
      </c>
      <c r="C29" s="35"/>
      <c r="D29" s="29">
        <v>160</v>
      </c>
    </row>
    <row r="30" spans="1:4" x14ac:dyDescent="0.3">
      <c r="A30" s="27"/>
      <c r="B30" s="46" t="s">
        <v>98</v>
      </c>
      <c r="C30" s="35"/>
      <c r="D30" s="29">
        <f>IF(C5="Bio-Betrieb", 310, 550)</f>
        <v>550</v>
      </c>
    </row>
    <row r="31" spans="1:4" x14ac:dyDescent="0.3">
      <c r="A31" s="27"/>
      <c r="B31" s="46" t="s">
        <v>99</v>
      </c>
      <c r="C31" s="35"/>
      <c r="D31" s="29">
        <f>IF(C5="Bio-Betrieb", 750, 990)</f>
        <v>990</v>
      </c>
    </row>
    <row r="32" spans="1:4" x14ac:dyDescent="0.3">
      <c r="A32" s="27"/>
      <c r="B32" s="46" t="s">
        <v>81</v>
      </c>
      <c r="C32" s="35"/>
      <c r="D32" s="29">
        <v>100</v>
      </c>
    </row>
    <row r="33" spans="1:5" x14ac:dyDescent="0.3">
      <c r="A33" s="27" t="s">
        <v>85</v>
      </c>
      <c r="B33" s="46" t="s">
        <v>93</v>
      </c>
      <c r="C33" s="35"/>
      <c r="D33" s="29">
        <v>110</v>
      </c>
    </row>
    <row r="34" spans="1:5" x14ac:dyDescent="0.3">
      <c r="A34" s="27"/>
      <c r="B34" s="46" t="s">
        <v>94</v>
      </c>
      <c r="C34" s="35"/>
      <c r="D34" s="29">
        <v>270</v>
      </c>
    </row>
    <row r="35" spans="1:5" x14ac:dyDescent="0.3">
      <c r="A35" s="27"/>
      <c r="B35" s="46" t="s">
        <v>100</v>
      </c>
      <c r="C35" s="35"/>
      <c r="D35" s="29">
        <f>IF(C5="Bio-Betrieb", 240, 480)</f>
        <v>480</v>
      </c>
    </row>
    <row r="36" spans="1:5" x14ac:dyDescent="0.3">
      <c r="A36" s="27"/>
      <c r="B36" s="46" t="s">
        <v>101</v>
      </c>
      <c r="C36" s="35"/>
      <c r="D36" s="29">
        <f>IF(C5="Bio-Betrieb", 270, 510)</f>
        <v>510</v>
      </c>
    </row>
    <row r="37" spans="1:5" x14ac:dyDescent="0.3">
      <c r="A37" s="27"/>
      <c r="B37" s="46" t="s">
        <v>102</v>
      </c>
      <c r="C37" s="35"/>
      <c r="D37" s="29">
        <f>IF(C5="Bio-Betrieb", 660, 900)</f>
        <v>900</v>
      </c>
    </row>
    <row r="38" spans="1:5" ht="15" thickBot="1" x14ac:dyDescent="0.35">
      <c r="A38" s="30"/>
      <c r="B38" s="47" t="s">
        <v>103</v>
      </c>
      <c r="C38" s="48"/>
      <c r="D38" s="32">
        <f>IF(C5="Bio-Betrieb", 690, 930)</f>
        <v>930</v>
      </c>
    </row>
    <row r="40" spans="1:5" x14ac:dyDescent="0.3">
      <c r="A40" s="33"/>
      <c r="B40" s="33"/>
      <c r="C40" s="33"/>
      <c r="D40" s="33"/>
    </row>
    <row r="41" spans="1:5" x14ac:dyDescent="0.3">
      <c r="A41" s="33" t="s">
        <v>67</v>
      </c>
      <c r="B41" s="33" t="s">
        <v>73</v>
      </c>
      <c r="C41" s="33"/>
      <c r="D41" s="33">
        <f>C8*D8+C9*D9+C10*D10</f>
        <v>0</v>
      </c>
    </row>
    <row r="42" spans="1:5" x14ac:dyDescent="0.3">
      <c r="A42" s="33"/>
      <c r="B42" s="33" t="s">
        <v>74</v>
      </c>
      <c r="C42" s="33"/>
      <c r="D42" s="33">
        <f>C12*D12+C13*D13+C14*D14+C16*D16</f>
        <v>0</v>
      </c>
    </row>
    <row r="43" spans="1:5" x14ac:dyDescent="0.3">
      <c r="A43" s="33"/>
      <c r="B43" s="33" t="s">
        <v>82</v>
      </c>
      <c r="C43" s="33"/>
      <c r="D43" s="33">
        <f>C17*D17+C18*D18+C19*D19+C20*D20+C21*D21</f>
        <v>0</v>
      </c>
    </row>
    <row r="44" spans="1:5" x14ac:dyDescent="0.3">
      <c r="A44" s="33"/>
      <c r="B44" s="33" t="s">
        <v>83</v>
      </c>
      <c r="C44" s="33"/>
      <c r="D44" s="33">
        <f>C23*D23+C24*D24+C25*D25+C26*D26+C27*D27</f>
        <v>0</v>
      </c>
    </row>
    <row r="45" spans="1:5" x14ac:dyDescent="0.3">
      <c r="A45" s="33"/>
      <c r="B45" s="33" t="s">
        <v>84</v>
      </c>
      <c r="C45" s="33"/>
      <c r="D45" s="33">
        <f>C28*D28+C29*D29+C30*D30+C31*D31+C32*D32</f>
        <v>0</v>
      </c>
    </row>
    <row r="46" spans="1:5" x14ac:dyDescent="0.3">
      <c r="A46" s="33"/>
      <c r="B46" s="33" t="s">
        <v>85</v>
      </c>
      <c r="C46" s="33"/>
      <c r="D46" s="33">
        <f>C33*D33+C34*D34+C35*D35+C36*D36+C37*D37+C38*D38</f>
        <v>0</v>
      </c>
    </row>
    <row r="47" spans="1:5" x14ac:dyDescent="0.3">
      <c r="A47" s="33"/>
      <c r="B47" s="33"/>
      <c r="C47" s="33"/>
      <c r="D47" s="33"/>
    </row>
    <row r="48" spans="1:5" ht="15.6" x14ac:dyDescent="0.3">
      <c r="A48" s="36" t="s">
        <v>104</v>
      </c>
      <c r="B48" s="36"/>
      <c r="C48" s="36"/>
      <c r="D48" s="36">
        <f>SUM(D41:D46)</f>
        <v>0</v>
      </c>
      <c r="E48" s="37"/>
    </row>
    <row r="50" spans="1:1" x14ac:dyDescent="0.3">
      <c r="A50" t="s">
        <v>86</v>
      </c>
    </row>
    <row r="52" spans="1:1" x14ac:dyDescent="0.3">
      <c r="A52" t="s">
        <v>185</v>
      </c>
    </row>
    <row r="53" spans="1:1" x14ac:dyDescent="0.3">
      <c r="A53" t="s">
        <v>186</v>
      </c>
    </row>
    <row r="54" spans="1:1" x14ac:dyDescent="0.3">
      <c r="A54" t="s">
        <v>147</v>
      </c>
    </row>
    <row r="55" spans="1:1" x14ac:dyDescent="0.3">
      <c r="A55" t="s">
        <v>148</v>
      </c>
    </row>
    <row r="57" spans="1:1" x14ac:dyDescent="0.3">
      <c r="A57" t="s">
        <v>187</v>
      </c>
    </row>
  </sheetData>
  <sheetProtection algorithmName="SHA-512" hashValue="ITzhFkOzCNIt1/ee+/jfTQ7avY3hrmn55Bc1O1FoBzkt7s1jKUukqvitl46ELBBWINJx4U65Xcow0ggjuA/7sA==" saltValue="RIlIkuGA98I+U2yiqiS7Aw==" spinCount="100000" sheet="1" selectLockedCells="1"/>
  <dataValidations count="1">
    <dataValidation type="list" allowBlank="1" showInputMessage="1" showErrorMessage="1" sqref="C6">
      <formula1>"Einführer, Beibehalter"</formula1>
    </dataValidation>
  </dataValidations>
  <pageMargins left="0.7" right="0.7" top="0.78740157499999996" bottom="0.78740157499999996"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58"/>
  <sheetViews>
    <sheetView workbookViewId="0">
      <selection activeCell="C21" sqref="C21"/>
    </sheetView>
  </sheetViews>
  <sheetFormatPr baseColWidth="10" defaultRowHeight="14.4" x14ac:dyDescent="0.3"/>
  <cols>
    <col min="1" max="1" width="21.6640625" customWidth="1"/>
    <col min="2" max="2" width="27.6640625" customWidth="1"/>
    <col min="3" max="4" width="15.109375" customWidth="1"/>
    <col min="5" max="5" width="16.6640625" customWidth="1"/>
  </cols>
  <sheetData>
    <row r="1" spans="1:4" ht="21" x14ac:dyDescent="0.4">
      <c r="A1" s="7" t="s">
        <v>149</v>
      </c>
    </row>
    <row r="2" spans="1:4" x14ac:dyDescent="0.3">
      <c r="A2" s="53"/>
    </row>
    <row r="3" spans="1:4" x14ac:dyDescent="0.3">
      <c r="A3" s="54" t="s">
        <v>144</v>
      </c>
      <c r="B3">
        <f>'1. Säule'!C3</f>
        <v>0</v>
      </c>
    </row>
    <row r="4" spans="1:4" ht="15" thickBot="1" x14ac:dyDescent="0.35"/>
    <row r="5" spans="1:4" x14ac:dyDescent="0.3">
      <c r="A5" s="24" t="s">
        <v>66</v>
      </c>
      <c r="B5" s="25"/>
      <c r="C5" s="49" t="str">
        <f>IF(Ökolandbau!D5="konventionell", "konventionell", "Bio-Betrieb")</f>
        <v>konventionell</v>
      </c>
      <c r="D5" s="26"/>
    </row>
    <row r="6" spans="1:4" x14ac:dyDescent="0.3">
      <c r="A6" s="27"/>
      <c r="B6" s="28"/>
      <c r="C6" s="28"/>
      <c r="D6" s="29"/>
    </row>
    <row r="7" spans="1:4" x14ac:dyDescent="0.3">
      <c r="A7" s="27"/>
      <c r="B7" s="28"/>
      <c r="C7" s="28" t="s">
        <v>46</v>
      </c>
      <c r="D7" s="29" t="s">
        <v>47</v>
      </c>
    </row>
    <row r="8" spans="1:4" x14ac:dyDescent="0.3">
      <c r="A8" s="27" t="s">
        <v>105</v>
      </c>
      <c r="B8" s="28" t="s">
        <v>106</v>
      </c>
      <c r="C8" s="35"/>
      <c r="D8" s="29">
        <v>450</v>
      </c>
    </row>
    <row r="9" spans="1:4" x14ac:dyDescent="0.3">
      <c r="A9" s="27"/>
      <c r="B9" s="28" t="s">
        <v>107</v>
      </c>
      <c r="C9" s="35"/>
      <c r="D9" s="29">
        <f>IF(C5="Bio-Betrieb", 115, 295)</f>
        <v>295</v>
      </c>
    </row>
    <row r="10" spans="1:4" x14ac:dyDescent="0.3">
      <c r="A10" s="27"/>
      <c r="B10" s="28" t="s">
        <v>108</v>
      </c>
      <c r="C10" s="35"/>
      <c r="D10" s="29">
        <f>IF(C5="Bio-Betrieb", 95, 275)</f>
        <v>275</v>
      </c>
    </row>
    <row r="11" spans="1:4" x14ac:dyDescent="0.3">
      <c r="A11" s="27" t="s">
        <v>109</v>
      </c>
      <c r="B11" s="28" t="s">
        <v>106</v>
      </c>
      <c r="C11" s="35"/>
      <c r="D11" s="29">
        <v>405</v>
      </c>
    </row>
    <row r="12" spans="1:4" x14ac:dyDescent="0.3">
      <c r="A12" s="27"/>
      <c r="B12" s="28" t="s">
        <v>107</v>
      </c>
      <c r="C12" s="35"/>
      <c r="D12" s="29">
        <f>IF(C5="Bio-Betrieb", 115, 295)</f>
        <v>295</v>
      </c>
    </row>
    <row r="13" spans="1:4" x14ac:dyDescent="0.3">
      <c r="A13" s="27"/>
      <c r="B13" s="46" t="s">
        <v>108</v>
      </c>
      <c r="C13" s="35"/>
      <c r="D13" s="29">
        <f>IF(C5="Bio-Betrieb", 95, 275)</f>
        <v>275</v>
      </c>
    </row>
    <row r="14" spans="1:4" x14ac:dyDescent="0.3">
      <c r="A14" s="27"/>
      <c r="B14" s="46"/>
      <c r="C14" s="45"/>
      <c r="D14" s="29"/>
    </row>
    <row r="15" spans="1:4" x14ac:dyDescent="0.3">
      <c r="A15" s="27" t="s">
        <v>181</v>
      </c>
      <c r="B15" s="46"/>
      <c r="C15" s="35"/>
      <c r="D15" s="29">
        <f>IF(C5="Bio-Betrieb", 270, 0)</f>
        <v>0</v>
      </c>
    </row>
    <row r="16" spans="1:4" x14ac:dyDescent="0.3">
      <c r="A16" s="27" t="s">
        <v>182</v>
      </c>
      <c r="B16" s="46"/>
      <c r="C16" s="35"/>
      <c r="D16" s="29"/>
    </row>
    <row r="17" spans="1:4" x14ac:dyDescent="0.3">
      <c r="A17" s="27" t="s">
        <v>115</v>
      </c>
      <c r="B17" s="46" t="s">
        <v>112</v>
      </c>
      <c r="C17" s="35"/>
      <c r="D17" s="29">
        <v>970</v>
      </c>
    </row>
    <row r="18" spans="1:4" x14ac:dyDescent="0.3">
      <c r="A18" s="27"/>
      <c r="B18" s="46" t="s">
        <v>113</v>
      </c>
      <c r="C18" s="35"/>
      <c r="D18" s="29">
        <v>1010</v>
      </c>
    </row>
    <row r="19" spans="1:4" x14ac:dyDescent="0.3">
      <c r="A19" s="27"/>
      <c r="B19" s="46" t="s">
        <v>114</v>
      </c>
      <c r="C19" s="35"/>
      <c r="D19" s="29">
        <v>1160</v>
      </c>
    </row>
    <row r="20" spans="1:4" x14ac:dyDescent="0.3">
      <c r="A20" s="27" t="s">
        <v>117</v>
      </c>
      <c r="B20" s="46" t="s">
        <v>118</v>
      </c>
      <c r="C20" s="35"/>
      <c r="D20" s="29">
        <f>IF(C5="Bio-Betrieb", 1830, 2010)</f>
        <v>2010</v>
      </c>
    </row>
    <row r="21" spans="1:4" x14ac:dyDescent="0.3">
      <c r="A21" s="27"/>
      <c r="B21" s="46" t="s">
        <v>119</v>
      </c>
      <c r="C21" s="35"/>
      <c r="D21" s="29">
        <f>IF(C5="Bio-Betrieb", 1850, 2030)</f>
        <v>2030</v>
      </c>
    </row>
    <row r="22" spans="1:4" x14ac:dyDescent="0.3">
      <c r="A22" s="27"/>
      <c r="B22" s="46"/>
      <c r="C22" s="45"/>
      <c r="D22" s="29"/>
    </row>
    <row r="23" spans="1:4" x14ac:dyDescent="0.3">
      <c r="A23" s="27" t="s">
        <v>120</v>
      </c>
      <c r="B23" s="46" t="s">
        <v>124</v>
      </c>
      <c r="C23" s="35"/>
      <c r="D23" s="29">
        <f>IF(C5="Bio-Betrieb", 80, 250)</f>
        <v>250</v>
      </c>
    </row>
    <row r="24" spans="1:4" x14ac:dyDescent="0.3">
      <c r="A24" s="27"/>
      <c r="B24" s="46" t="s">
        <v>121</v>
      </c>
      <c r="C24" s="35"/>
      <c r="D24" s="29">
        <v>170</v>
      </c>
    </row>
    <row r="25" spans="1:4" x14ac:dyDescent="0.3">
      <c r="A25" s="27"/>
      <c r="B25" s="46" t="s">
        <v>122</v>
      </c>
      <c r="C25" s="35"/>
      <c r="D25" s="29">
        <v>130</v>
      </c>
    </row>
    <row r="26" spans="1:4" x14ac:dyDescent="0.3">
      <c r="A26" s="27"/>
      <c r="B26" s="46" t="s">
        <v>123</v>
      </c>
      <c r="C26" s="35"/>
      <c r="D26" s="29">
        <f>IF(C5="Bio-Betrieb", 0, 450)</f>
        <v>450</v>
      </c>
    </row>
    <row r="27" spans="1:4" x14ac:dyDescent="0.3">
      <c r="A27" s="27" t="s">
        <v>131</v>
      </c>
      <c r="B27" s="46" t="s">
        <v>125</v>
      </c>
      <c r="C27" s="35"/>
      <c r="D27" s="29">
        <f>IF(C5="Bio-Betrieb", 180, 350)</f>
        <v>350</v>
      </c>
    </row>
    <row r="28" spans="1:4" x14ac:dyDescent="0.3">
      <c r="A28" s="27"/>
      <c r="B28" s="46" t="s">
        <v>126</v>
      </c>
      <c r="C28" s="35"/>
      <c r="D28" s="29">
        <f>IF(C5="Bio-Betrieb", 150, 320)</f>
        <v>320</v>
      </c>
    </row>
    <row r="29" spans="1:4" x14ac:dyDescent="0.3">
      <c r="A29" s="27"/>
      <c r="B29" s="46" t="s">
        <v>127</v>
      </c>
      <c r="C29" s="35"/>
      <c r="D29" s="29">
        <v>310</v>
      </c>
    </row>
    <row r="30" spans="1:4" ht="15" thickBot="1" x14ac:dyDescent="0.35">
      <c r="A30" s="30"/>
      <c r="B30" s="47" t="s">
        <v>128</v>
      </c>
      <c r="C30" s="48"/>
      <c r="D30" s="32">
        <v>450</v>
      </c>
    </row>
    <row r="32" spans="1:4" x14ac:dyDescent="0.3">
      <c r="A32" s="33"/>
      <c r="B32" s="33"/>
      <c r="C32" s="33"/>
      <c r="D32" s="33"/>
    </row>
    <row r="33" spans="1:5" x14ac:dyDescent="0.3">
      <c r="A33" s="33" t="s">
        <v>67</v>
      </c>
      <c r="B33" s="33" t="s">
        <v>73</v>
      </c>
      <c r="C33" s="33"/>
      <c r="D33" s="33">
        <f>'Vertragsnaturschutz 1'!C8*'Vertragsnaturschutz 1'!D8+'Vertragsnaturschutz 1'!C9*'Vertragsnaturschutz 1'!D9+'Vertragsnaturschutz 1'!C10*'Vertragsnaturschutz 1'!D10</f>
        <v>0</v>
      </c>
    </row>
    <row r="34" spans="1:5" x14ac:dyDescent="0.3">
      <c r="A34" s="33"/>
      <c r="B34" s="33" t="s">
        <v>74</v>
      </c>
      <c r="C34" s="33"/>
      <c r="D34" s="33">
        <f>'Vertragsnaturschutz 1'!C12*'Vertragsnaturschutz 1'!D12+'Vertragsnaturschutz 1'!C13*'Vertragsnaturschutz 1'!D13+'Vertragsnaturschutz 1'!C14*'Vertragsnaturschutz 1'!D14+'Vertragsnaturschutz 1'!C16*'Vertragsnaturschutz 1'!D16</f>
        <v>0</v>
      </c>
    </row>
    <row r="35" spans="1:5" x14ac:dyDescent="0.3">
      <c r="A35" s="33"/>
      <c r="B35" s="33" t="s">
        <v>82</v>
      </c>
      <c r="C35" s="33"/>
      <c r="D35" s="33">
        <f>'Vertragsnaturschutz 1'!C17*'Vertragsnaturschutz 1'!D17+'Vertragsnaturschutz 1'!C18*'Vertragsnaturschutz 1'!D18+'Vertragsnaturschutz 1'!C19*'Vertragsnaturschutz 1'!D19+'Vertragsnaturschutz 1'!C20*'Vertragsnaturschutz 1'!D20+'Vertragsnaturschutz 1'!C21*'Vertragsnaturschutz 1'!D21</f>
        <v>0</v>
      </c>
    </row>
    <row r="36" spans="1:5" x14ac:dyDescent="0.3">
      <c r="A36" s="33"/>
      <c r="B36" s="33" t="s">
        <v>83</v>
      </c>
      <c r="C36" s="33"/>
      <c r="D36" s="33">
        <f>'Vertragsnaturschutz 1'!C23*'Vertragsnaturschutz 1'!D23+'Vertragsnaturschutz 1'!C24*'Vertragsnaturschutz 1'!D24+'Vertragsnaturschutz 1'!C25*'Vertragsnaturschutz 1'!D25+'Vertragsnaturschutz 1'!C26*'Vertragsnaturschutz 1'!D26+'Vertragsnaturschutz 1'!C27*'Vertragsnaturschutz 1'!D27</f>
        <v>0</v>
      </c>
    </row>
    <row r="37" spans="1:5" x14ac:dyDescent="0.3">
      <c r="A37" s="33"/>
      <c r="B37" s="33" t="s">
        <v>84</v>
      </c>
      <c r="C37" s="33"/>
      <c r="D37" s="33">
        <f>'Vertragsnaturschutz 1'!D45</f>
        <v>0</v>
      </c>
    </row>
    <row r="38" spans="1:5" x14ac:dyDescent="0.3">
      <c r="A38" s="33"/>
      <c r="B38" s="33" t="s">
        <v>85</v>
      </c>
      <c r="C38" s="33"/>
      <c r="D38" s="33">
        <f>'Vertragsnaturschutz 1'!C33*'Vertragsnaturschutz 1'!D33+'Vertragsnaturschutz 1'!C34*'Vertragsnaturschutz 1'!D34+'Vertragsnaturschutz 1'!C35*'Vertragsnaturschutz 1'!D35+'Vertragsnaturschutz 1'!C36*'Vertragsnaturschutz 1'!D36+'Vertragsnaturschutz 1'!C37*'Vertragsnaturschutz 1'!D37+'Vertragsnaturschutz 1'!C38*'Vertragsnaturschutz 1'!D38</f>
        <v>0</v>
      </c>
    </row>
    <row r="39" spans="1:5" x14ac:dyDescent="0.3">
      <c r="A39" s="33"/>
      <c r="B39" s="33" t="s">
        <v>105</v>
      </c>
      <c r="C39" s="33"/>
      <c r="D39" s="33">
        <f>C8*D8+C9*D9+C10*D10</f>
        <v>0</v>
      </c>
    </row>
    <row r="40" spans="1:5" x14ac:dyDescent="0.3">
      <c r="A40" s="33"/>
      <c r="B40" s="33" t="s">
        <v>109</v>
      </c>
      <c r="C40" s="33"/>
      <c r="D40" s="33">
        <f>C11*D11+C12*D12+C13*D13</f>
        <v>0</v>
      </c>
    </row>
    <row r="41" spans="1:5" x14ac:dyDescent="0.3">
      <c r="A41" s="33"/>
      <c r="B41" s="33" t="s">
        <v>110</v>
      </c>
      <c r="C41" s="33"/>
      <c r="D41" s="33">
        <f>C15*D15</f>
        <v>0</v>
      </c>
    </row>
    <row r="42" spans="1:5" x14ac:dyDescent="0.3">
      <c r="A42" s="33"/>
      <c r="B42" s="33" t="s">
        <v>111</v>
      </c>
      <c r="C42" s="33"/>
      <c r="D42" s="33">
        <f>C17*D17+C18*D18+C19*D19</f>
        <v>0</v>
      </c>
    </row>
    <row r="43" spans="1:5" x14ac:dyDescent="0.3">
      <c r="A43" s="33"/>
      <c r="B43" s="33" t="s">
        <v>116</v>
      </c>
      <c r="C43" s="33"/>
      <c r="D43" s="33">
        <f>C20*D20+C21*D21</f>
        <v>0</v>
      </c>
    </row>
    <row r="44" spans="1:5" x14ac:dyDescent="0.3">
      <c r="A44" s="33"/>
      <c r="B44" s="33" t="s">
        <v>120</v>
      </c>
      <c r="C44" s="33"/>
      <c r="D44" s="33">
        <f>C23*D23+C24*D24+C25*D25+C26*D26</f>
        <v>0</v>
      </c>
    </row>
    <row r="45" spans="1:5" x14ac:dyDescent="0.3">
      <c r="A45" s="33"/>
      <c r="B45" s="33" t="s">
        <v>132</v>
      </c>
      <c r="C45" s="33"/>
      <c r="D45" s="33">
        <f>C27*D27+C28*D28+C29*D29+C30*D30</f>
        <v>0</v>
      </c>
    </row>
    <row r="46" spans="1:5" x14ac:dyDescent="0.3">
      <c r="A46" s="33"/>
      <c r="B46" s="33"/>
      <c r="C46" s="33"/>
      <c r="D46" s="33"/>
    </row>
    <row r="47" spans="1:5" ht="15.6" x14ac:dyDescent="0.3">
      <c r="A47" s="36" t="s">
        <v>68</v>
      </c>
      <c r="B47" s="36"/>
      <c r="C47" s="36"/>
      <c r="D47" s="36">
        <f>SUM(D33:D45)</f>
        <v>0</v>
      </c>
      <c r="E47" s="37"/>
    </row>
    <row r="49" spans="1:1" x14ac:dyDescent="0.3">
      <c r="A49" t="s">
        <v>86</v>
      </c>
    </row>
    <row r="50" spans="1:1" x14ac:dyDescent="0.3">
      <c r="A50" t="s">
        <v>130</v>
      </c>
    </row>
    <row r="51" spans="1:1" x14ac:dyDescent="0.3">
      <c r="A51" t="s">
        <v>129</v>
      </c>
    </row>
    <row r="53" spans="1:1" x14ac:dyDescent="0.3">
      <c r="A53" t="s">
        <v>185</v>
      </c>
    </row>
    <row r="54" spans="1:1" x14ac:dyDescent="0.3">
      <c r="A54" t="s">
        <v>186</v>
      </c>
    </row>
    <row r="55" spans="1:1" x14ac:dyDescent="0.3">
      <c r="A55" t="s">
        <v>147</v>
      </c>
    </row>
    <row r="56" spans="1:1" x14ac:dyDescent="0.3">
      <c r="A56" t="s">
        <v>148</v>
      </c>
    </row>
    <row r="58" spans="1:1" x14ac:dyDescent="0.3">
      <c r="A58" t="s">
        <v>187</v>
      </c>
    </row>
  </sheetData>
  <sheetProtection algorithmName="SHA-512" hashValue="nfbe+mNzKZeD46BAKgf9XoLSIZ5YgboxieAae6aQ1Rew4T0ubGbwm9h+lvKAAN2MxaDVeOsUBoYcnywUhU6F3g==" saltValue="E+FkcslnXV9pH8BDvoWDDQ==" spinCount="100000" sheet="1" objects="1" scenarios="1" selectLockedCells="1"/>
  <dataValidations count="1">
    <dataValidation type="list" allowBlank="1" showInputMessage="1" showErrorMessage="1" sqref="C6">
      <formula1>"Einführer, Beibehalter"</formula1>
    </dataValidation>
  </dataValidations>
  <pageMargins left="0.7" right="0.7" top="0.78740157499999996" bottom="0.78740157499999996" header="0.3" footer="0.3"/>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I30"/>
  <sheetViews>
    <sheetView workbookViewId="0">
      <selection activeCell="A31" sqref="A31"/>
    </sheetView>
  </sheetViews>
  <sheetFormatPr baseColWidth="10" defaultRowHeight="14.4" x14ac:dyDescent="0.3"/>
  <sheetData>
    <row r="1" spans="1:9" ht="21" x14ac:dyDescent="0.4">
      <c r="A1" s="7" t="s">
        <v>149</v>
      </c>
    </row>
    <row r="3" spans="1:9" x14ac:dyDescent="0.3">
      <c r="B3" t="s">
        <v>144</v>
      </c>
      <c r="C3" s="52">
        <f>'1. Säule'!C3</f>
        <v>0</v>
      </c>
    </row>
    <row r="6" spans="1:9" x14ac:dyDescent="0.3">
      <c r="B6" t="s">
        <v>28</v>
      </c>
      <c r="F6">
        <v>2023</v>
      </c>
      <c r="G6">
        <v>2024</v>
      </c>
      <c r="H6">
        <v>2025</v>
      </c>
      <c r="I6">
        <v>2026</v>
      </c>
    </row>
    <row r="8" spans="1:9" ht="15.6" x14ac:dyDescent="0.3">
      <c r="A8" s="9"/>
      <c r="B8" s="9" t="s">
        <v>22</v>
      </c>
      <c r="C8" s="9"/>
      <c r="D8" s="9"/>
      <c r="E8" s="9"/>
      <c r="F8" s="9">
        <f>'1. Säule'!F53</f>
        <v>0</v>
      </c>
      <c r="G8" s="9">
        <f>'1. Säule'!G53</f>
        <v>0</v>
      </c>
      <c r="H8" s="9">
        <f>'1. Säule'!H53</f>
        <v>0</v>
      </c>
      <c r="I8" s="9">
        <f>'1. Säule'!I53</f>
        <v>0</v>
      </c>
    </row>
    <row r="9" spans="1:9" ht="15.6" x14ac:dyDescent="0.3">
      <c r="A9" s="9"/>
      <c r="B9" s="9" t="s">
        <v>23</v>
      </c>
      <c r="C9" s="9"/>
      <c r="D9" s="9"/>
      <c r="E9" s="9"/>
      <c r="F9" s="9">
        <f>'1. Säule'!F54</f>
        <v>0</v>
      </c>
      <c r="G9" s="9">
        <f>'1. Säule'!G54</f>
        <v>0</v>
      </c>
      <c r="H9" s="9">
        <f>'1. Säule'!H54</f>
        <v>0</v>
      </c>
      <c r="I9" s="9">
        <f>'1. Säule'!I54</f>
        <v>0</v>
      </c>
    </row>
    <row r="10" spans="1:9" ht="15.6" x14ac:dyDescent="0.3">
      <c r="A10" s="9"/>
      <c r="B10" s="9" t="s">
        <v>8</v>
      </c>
      <c r="C10" s="9"/>
      <c r="D10" s="9"/>
      <c r="E10" s="9"/>
      <c r="F10" s="9">
        <f>'1. Säule'!F55</f>
        <v>0</v>
      </c>
      <c r="G10" s="9">
        <f>'1. Säule'!G55</f>
        <v>0</v>
      </c>
      <c r="H10" s="9">
        <f>'1. Säule'!H55</f>
        <v>0</v>
      </c>
      <c r="I10" s="9">
        <f>'1. Säule'!I55</f>
        <v>0</v>
      </c>
    </row>
    <row r="11" spans="1:9" ht="15.6" x14ac:dyDescent="0.3">
      <c r="A11" s="9"/>
      <c r="B11" s="9"/>
      <c r="C11" s="9"/>
      <c r="D11" s="9"/>
      <c r="E11" s="9"/>
      <c r="F11" s="9"/>
      <c r="G11" s="9"/>
      <c r="H11" s="9"/>
      <c r="I11" s="9"/>
    </row>
    <row r="12" spans="1:9" ht="15.6" x14ac:dyDescent="0.3">
      <c r="A12" s="9"/>
      <c r="B12" s="9" t="s">
        <v>146</v>
      </c>
      <c r="C12" s="9"/>
      <c r="D12" s="9"/>
      <c r="E12" s="9"/>
      <c r="F12" s="9">
        <f>F8+F9+F10</f>
        <v>0</v>
      </c>
      <c r="G12" s="9">
        <f>G8+G9+G10</f>
        <v>0</v>
      </c>
      <c r="H12" s="9">
        <f>H8+H9+H10</f>
        <v>0</v>
      </c>
      <c r="I12" s="9">
        <f>I8+I9+I10</f>
        <v>0</v>
      </c>
    </row>
    <row r="13" spans="1:9" ht="15.6" x14ac:dyDescent="0.3">
      <c r="A13" s="9"/>
      <c r="B13" s="9"/>
      <c r="C13" s="9"/>
      <c r="D13" s="9"/>
      <c r="E13" s="9"/>
      <c r="F13" s="9"/>
      <c r="G13" s="9"/>
      <c r="H13" s="9"/>
      <c r="I13" s="9"/>
    </row>
    <row r="14" spans="1:9" ht="15.6" x14ac:dyDescent="0.3">
      <c r="A14" s="9"/>
      <c r="B14" s="9" t="s">
        <v>140</v>
      </c>
      <c r="C14" s="9"/>
      <c r="D14" s="9"/>
      <c r="E14" s="9"/>
      <c r="F14" s="9">
        <f>'NZP, AGZ, Zwischensumme'!F22</f>
        <v>0</v>
      </c>
      <c r="G14" s="9">
        <f>'NZP, AGZ, Zwischensumme'!G22</f>
        <v>0</v>
      </c>
      <c r="H14" s="9">
        <f>'NZP, AGZ, Zwischensumme'!H22</f>
        <v>0</v>
      </c>
      <c r="I14" s="9">
        <f>'NZP, AGZ, Zwischensumme'!I22</f>
        <v>0</v>
      </c>
    </row>
    <row r="15" spans="1:9" ht="15.6" x14ac:dyDescent="0.3">
      <c r="A15" s="9"/>
      <c r="B15" s="9" t="s">
        <v>141</v>
      </c>
      <c r="C15" s="9"/>
      <c r="D15" s="9"/>
      <c r="E15" s="9"/>
      <c r="F15" s="9">
        <f>'NZP, AGZ, Zwischensumme'!F23</f>
        <v>0</v>
      </c>
      <c r="G15" s="9">
        <f>'NZP, AGZ, Zwischensumme'!G23</f>
        <v>0</v>
      </c>
      <c r="H15" s="9">
        <f>'NZP, AGZ, Zwischensumme'!H23</f>
        <v>0</v>
      </c>
      <c r="I15" s="9">
        <f>'NZP, AGZ, Zwischensumme'!I23</f>
        <v>0</v>
      </c>
    </row>
    <row r="16" spans="1:9" ht="15.6" x14ac:dyDescent="0.3">
      <c r="A16" s="9"/>
      <c r="B16" s="9"/>
      <c r="C16" s="9"/>
      <c r="D16" s="9"/>
      <c r="E16" s="9"/>
      <c r="F16" s="9"/>
      <c r="G16" s="9"/>
      <c r="H16" s="9"/>
      <c r="I16" s="9"/>
    </row>
    <row r="17" spans="1:9" ht="15.6" x14ac:dyDescent="0.3">
      <c r="A17" s="38"/>
      <c r="B17" s="41" t="s">
        <v>56</v>
      </c>
      <c r="C17" s="38"/>
      <c r="D17" s="38"/>
      <c r="E17" s="38"/>
      <c r="F17" s="38">
        <f>Ökolandbau!D31+Ökolandbau!D32+Ökolandbau!D33+Ökolandbau!D34+Ökolandbau!D35+Ökolandbau!D37+Ökolandbau!D39+Ökolandbau!D40+Ökolandbau!D42</f>
        <v>0</v>
      </c>
      <c r="G17" s="38">
        <f>Ökolandbau!D31+Ökolandbau!D32+Ökolandbau!D33+Ökolandbau!D34+Ökolandbau!D35+Ökolandbau!D37+Ökolandbau!D39+Ökolandbau!D40+Ökolandbau!D42</f>
        <v>0</v>
      </c>
      <c r="H17" s="38">
        <f>Ökolandbau!D31+Ökolandbau!D32+Ökolandbau!D33+Ökolandbau!D34+Ökolandbau!D35+Ökolandbau!D37+Ökolandbau!D39+Ökolandbau!D40+Ökolandbau!D42</f>
        <v>0</v>
      </c>
      <c r="I17" s="38">
        <f>Ökolandbau!D31+Ökolandbau!D32+Ökolandbau!D33+Ökolandbau!D34+Ökolandbau!D35+Ökolandbau!D37+Ökolandbau!D39+Ökolandbau!D40+Ökolandbau!D42</f>
        <v>0</v>
      </c>
    </row>
    <row r="18" spans="1:9" ht="15.6" x14ac:dyDescent="0.3">
      <c r="A18" s="36"/>
      <c r="B18" s="36" t="s">
        <v>54</v>
      </c>
      <c r="C18" s="36"/>
      <c r="D18" s="36"/>
      <c r="E18" s="36"/>
      <c r="F18" s="36">
        <f>Ökolandbau!F44</f>
        <v>0</v>
      </c>
      <c r="G18" s="36">
        <f>Ökolandbau!G44</f>
        <v>0</v>
      </c>
      <c r="H18" s="36">
        <f>Ökolandbau!H44</f>
        <v>0</v>
      </c>
      <c r="I18" s="36">
        <f>Ökolandbau!I44</f>
        <v>0</v>
      </c>
    </row>
    <row r="19" spans="1:9" x14ac:dyDescent="0.3">
      <c r="A19" s="33"/>
      <c r="B19" s="33"/>
      <c r="C19" s="33"/>
      <c r="D19" s="33"/>
      <c r="E19" s="33"/>
      <c r="F19" s="33"/>
      <c r="G19" s="33"/>
      <c r="H19" s="33"/>
      <c r="I19" s="33"/>
    </row>
    <row r="20" spans="1:9" ht="15.6" x14ac:dyDescent="0.3">
      <c r="A20" s="36"/>
      <c r="B20" s="36" t="s">
        <v>70</v>
      </c>
      <c r="C20" s="36"/>
      <c r="D20" s="36"/>
      <c r="E20" s="36"/>
      <c r="F20" s="36">
        <f>'Vertragsnaturschutz 2'!D47</f>
        <v>0</v>
      </c>
      <c r="G20" s="36">
        <f>'Vertragsnaturschutz 2'!D47</f>
        <v>0</v>
      </c>
      <c r="H20" s="36">
        <f>'Vertragsnaturschutz 2'!D47</f>
        <v>0</v>
      </c>
      <c r="I20" s="36">
        <f>'Vertragsnaturschutz 2'!D47</f>
        <v>0</v>
      </c>
    </row>
    <row r="21" spans="1:9" x14ac:dyDescent="0.3">
      <c r="A21" s="33"/>
      <c r="B21" s="33"/>
      <c r="C21" s="33"/>
      <c r="D21" s="33"/>
      <c r="E21" s="33"/>
      <c r="F21" s="33"/>
      <c r="G21" s="33"/>
      <c r="H21" s="33"/>
      <c r="I21" s="33"/>
    </row>
    <row r="22" spans="1:9" ht="18" x14ac:dyDescent="0.35">
      <c r="A22" s="40"/>
      <c r="B22" s="40" t="s">
        <v>55</v>
      </c>
      <c r="C22" s="40"/>
      <c r="D22" s="40"/>
      <c r="E22" s="40"/>
      <c r="F22" s="40">
        <f>F12+F14+F15+F18+F20</f>
        <v>0</v>
      </c>
      <c r="G22" s="40">
        <f>G12+G14+G15+G18+G20</f>
        <v>0</v>
      </c>
      <c r="H22" s="40">
        <f>H12+H14+H15+H18+H20</f>
        <v>0</v>
      </c>
      <c r="I22" s="40">
        <f>I12+I14+I15+I18+I20</f>
        <v>0</v>
      </c>
    </row>
    <row r="25" spans="1:9" x14ac:dyDescent="0.3">
      <c r="A25" t="s">
        <v>185</v>
      </c>
    </row>
    <row r="26" spans="1:9" x14ac:dyDescent="0.3">
      <c r="A26" t="s">
        <v>186</v>
      </c>
    </row>
    <row r="27" spans="1:9" x14ac:dyDescent="0.3">
      <c r="A27" t="s">
        <v>147</v>
      </c>
    </row>
    <row r="28" spans="1:9" x14ac:dyDescent="0.3">
      <c r="A28" t="s">
        <v>148</v>
      </c>
    </row>
    <row r="30" spans="1:9" x14ac:dyDescent="0.3">
      <c r="A30" t="s">
        <v>196</v>
      </c>
    </row>
  </sheetData>
  <sheetProtection algorithmName="SHA-512" hashValue="izlInzVoLioTPa0YL3fds/+NkPXd3aqDzz6JiavlS2sL/JvN6NZKBx6NdLvFBn8M5lLnDAyUWO7cwtSzYew4wA==" saltValue="PyfuJHbnY6vEOFT1new5XA==" spinCount="100000" sheet="1" selectLockedCells="1"/>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Menü</vt:lpstr>
      <vt:lpstr>1. Säule</vt:lpstr>
      <vt:lpstr>Ökolandbau</vt:lpstr>
      <vt:lpstr>NZP, AGZ, Zwischensumme</vt:lpstr>
      <vt:lpstr>Vertragsnaturschutz 1</vt:lpstr>
      <vt:lpstr>Vertragsnaturschutz 2</vt:lpstr>
      <vt:lpstr>Summen mit VNS</vt:lpstr>
    </vt:vector>
  </TitlesOfParts>
  <Company>Landwirtschaftskammer Schleswig Hostein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Ortmanns, Björn</dc:creator>
  <cp:lastModifiedBy>Ortmanns, Björn</cp:lastModifiedBy>
  <cp:lastPrinted>2022-09-16T09:08:53Z</cp:lastPrinted>
  <dcterms:created xsi:type="dcterms:W3CDTF">2021-11-23T11:25:01Z</dcterms:created>
  <dcterms:modified xsi:type="dcterms:W3CDTF">2024-03-12T13:58:26Z</dcterms:modified>
</cp:coreProperties>
</file>